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tesAndCertificates\CERTIF\Northern Lights 2025 CP24-60\Filings to FERC\2024 05 20 resp FERC DR2 accntg\comments\"/>
    </mc:Choice>
  </mc:AlternateContent>
  <xr:revisionPtr revIDLastSave="0" documentId="8_{8CDD6A87-BE41-48F6-A08D-36794ACF05F1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Exhibit K NL 2025" sheetId="1" r:id="rId1"/>
    <sheet name="Lake Mills-Albert Lea E-Line Ex" sheetId="2" r:id="rId2"/>
    <sheet name="Farmington-Hugo C-Line Ext" sheetId="3" r:id="rId3"/>
    <sheet name="ELK River 3rd Branch Line Ext" sheetId="4" r:id="rId4"/>
    <sheet name="Tomah BL Loop Ext" sheetId="5" r:id="rId5"/>
    <sheet name="La Cresent Station Modification" sheetId="6" r:id="rId6"/>
    <sheet name="AFUDC Rate Calculation" sheetId="7" r:id="rId7"/>
  </sheets>
  <definedNames>
    <definedName name="_xlnm.Print_Area" localSheetId="3">'ELK River 3rd Branch Line Ext'!$A$1:$R$56</definedName>
    <definedName name="_xlnm.Print_Area" localSheetId="0">'Exhibit K NL 2025'!$A:$M</definedName>
    <definedName name="_xlnm.Print_Area" localSheetId="5">'La Cresent Station Modification'!$A$3:$R$33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I30" i="3" s="1"/>
  <c r="F29" i="3"/>
  <c r="B48" i="5"/>
  <c r="B47" i="5"/>
  <c r="F47" i="5"/>
  <c r="I47" i="5" s="1"/>
  <c r="C49" i="5"/>
  <c r="F31" i="2"/>
  <c r="I31" i="2" s="1"/>
  <c r="F29" i="2"/>
  <c r="I29" i="2" s="1"/>
  <c r="C45" i="4"/>
  <c r="F27" i="2"/>
  <c r="I27" i="2" s="1"/>
  <c r="C32" i="2"/>
  <c r="D31" i="3"/>
  <c r="F27" i="3"/>
  <c r="I27" i="3" s="1"/>
  <c r="F28" i="3"/>
  <c r="C31" i="3"/>
  <c r="F28" i="2"/>
  <c r="F26" i="2"/>
  <c r="I26" i="2" s="1"/>
  <c r="F25" i="2"/>
  <c r="I25" i="2" s="1"/>
  <c r="L25" i="2" s="1"/>
  <c r="F26" i="3"/>
  <c r="I26" i="3" s="1"/>
  <c r="F25" i="3"/>
  <c r="I25" i="3" s="1"/>
  <c r="F24" i="3"/>
  <c r="R24" i="3" s="1"/>
  <c r="G25" i="3" s="1"/>
  <c r="B42" i="4"/>
  <c r="B41" i="4"/>
  <c r="F41" i="4" s="1"/>
  <c r="I41" i="4" s="1"/>
  <c r="F40" i="4"/>
  <c r="F39" i="4"/>
  <c r="I39" i="4" s="1"/>
  <c r="F38" i="4"/>
  <c r="I38" i="4" s="1"/>
  <c r="F37" i="4"/>
  <c r="I37" i="4" s="1"/>
  <c r="F36" i="4"/>
  <c r="P35" i="4"/>
  <c r="O35" i="4"/>
  <c r="F35" i="4"/>
  <c r="I35" i="4" s="1"/>
  <c r="P34" i="4"/>
  <c r="O34" i="4"/>
  <c r="Q34" i="4" s="1"/>
  <c r="K35" i="4" s="1"/>
  <c r="F34" i="4"/>
  <c r="I34" i="4" s="1"/>
  <c r="P33" i="4"/>
  <c r="O33" i="4"/>
  <c r="F33" i="4"/>
  <c r="P32" i="4"/>
  <c r="O32" i="4"/>
  <c r="Q32" i="4" s="1"/>
  <c r="K33" i="4" s="1"/>
  <c r="F32" i="4"/>
  <c r="I32" i="4" s="1"/>
  <c r="P31" i="4"/>
  <c r="O31" i="4"/>
  <c r="F31" i="4"/>
  <c r="I31" i="4" s="1"/>
  <c r="P30" i="4"/>
  <c r="O30" i="4"/>
  <c r="F30" i="4"/>
  <c r="F29" i="4"/>
  <c r="I29" i="4" s="1"/>
  <c r="F28" i="4"/>
  <c r="I28" i="4" s="1"/>
  <c r="F27" i="4"/>
  <c r="I27" i="4" s="1"/>
  <c r="L27" i="4" s="1"/>
  <c r="F26" i="4"/>
  <c r="F25" i="4"/>
  <c r="I25" i="4" s="1"/>
  <c r="F24" i="4"/>
  <c r="R24" i="4" s="1"/>
  <c r="G25" i="4" s="1"/>
  <c r="F43" i="5"/>
  <c r="I43" i="5" s="1"/>
  <c r="F45" i="5"/>
  <c r="I45" i="5" s="1"/>
  <c r="F37" i="5"/>
  <c r="I37" i="5" s="1"/>
  <c r="F39" i="5"/>
  <c r="F41" i="5"/>
  <c r="I41" i="5" s="1"/>
  <c r="B28" i="6"/>
  <c r="B30" i="6"/>
  <c r="F26" i="6"/>
  <c r="I26" i="6" s="1"/>
  <c r="F27" i="6"/>
  <c r="F31" i="3" l="1"/>
  <c r="J30" i="3"/>
  <c r="B32" i="2"/>
  <c r="B37" i="2" s="1"/>
  <c r="F30" i="2"/>
  <c r="I30" i="2" s="1"/>
  <c r="P25" i="2"/>
  <c r="O25" i="2"/>
  <c r="J31" i="2"/>
  <c r="R25" i="2"/>
  <c r="G26" i="2" s="1"/>
  <c r="I28" i="2"/>
  <c r="B31" i="3"/>
  <c r="I29" i="3"/>
  <c r="B36" i="3"/>
  <c r="I24" i="3"/>
  <c r="L24" i="3" s="1"/>
  <c r="P24" i="3" s="1"/>
  <c r="I28" i="3"/>
  <c r="B50" i="4"/>
  <c r="F42" i="4"/>
  <c r="I42" i="4" s="1"/>
  <c r="F43" i="4"/>
  <c r="I43" i="4" s="1"/>
  <c r="F44" i="4"/>
  <c r="I44" i="4" s="1"/>
  <c r="J44" i="4" s="1"/>
  <c r="Q33" i="4"/>
  <c r="K34" i="4" s="1"/>
  <c r="I24" i="4"/>
  <c r="L24" i="4" s="1"/>
  <c r="B45" i="4"/>
  <c r="Q30" i="4"/>
  <c r="K31" i="4" s="1"/>
  <c r="Q31" i="4"/>
  <c r="K32" i="4" s="1"/>
  <c r="Q35" i="4"/>
  <c r="K36" i="4" s="1"/>
  <c r="O24" i="4"/>
  <c r="Q24" i="4" s="1"/>
  <c r="P24" i="4"/>
  <c r="P27" i="4"/>
  <c r="O27" i="4"/>
  <c r="I30" i="4"/>
  <c r="I33" i="4"/>
  <c r="I36" i="4"/>
  <c r="I40" i="4"/>
  <c r="R27" i="4"/>
  <c r="G28" i="4" s="1"/>
  <c r="I26" i="4"/>
  <c r="F26" i="5"/>
  <c r="I26" i="5" s="1"/>
  <c r="L26" i="5" s="1"/>
  <c r="O26" i="5" s="1"/>
  <c r="I39" i="5"/>
  <c r="I27" i="6"/>
  <c r="J27" i="6" s="1"/>
  <c r="F25" i="6"/>
  <c r="I25" i="6" s="1"/>
  <c r="F24" i="6"/>
  <c r="I24" i="6" s="1"/>
  <c r="F23" i="6"/>
  <c r="I23" i="6" s="1"/>
  <c r="F22" i="6"/>
  <c r="R22" i="6" s="1"/>
  <c r="G23" i="6" s="1"/>
  <c r="E27" i="7"/>
  <c r="F25" i="7" s="1"/>
  <c r="J25" i="7" s="1"/>
  <c r="G12" i="6"/>
  <c r="C12" i="6" s="1"/>
  <c r="F15" i="5"/>
  <c r="B15" i="5" s="1"/>
  <c r="F14" i="4"/>
  <c r="B14" i="4" s="1"/>
  <c r="F14" i="3"/>
  <c r="B14" i="3" s="1"/>
  <c r="F15" i="2"/>
  <c r="B15" i="2"/>
  <c r="F15" i="1"/>
  <c r="Q25" i="2" l="1"/>
  <c r="K26" i="2"/>
  <c r="R26" i="2" s="1"/>
  <c r="G27" i="2" s="1"/>
  <c r="O24" i="3"/>
  <c r="Q24" i="3" s="1"/>
  <c r="K25" i="3" s="1"/>
  <c r="Q27" i="4"/>
  <c r="K28" i="4" s="1"/>
  <c r="R28" i="4" s="1"/>
  <c r="G29" i="4" s="1"/>
  <c r="K25" i="4"/>
  <c r="R26" i="5"/>
  <c r="G27" i="5" s="1"/>
  <c r="F27" i="5"/>
  <c r="I27" i="5" s="1"/>
  <c r="F28" i="5"/>
  <c r="I28" i="5" s="1"/>
  <c r="P26" i="5"/>
  <c r="Q26" i="5" s="1"/>
  <c r="K27" i="5" s="1"/>
  <c r="I22" i="6"/>
  <c r="L22" i="6" s="1"/>
  <c r="O22" i="6" s="1"/>
  <c r="F21" i="7"/>
  <c r="F14" i="1"/>
  <c r="F13" i="1"/>
  <c r="F12" i="1"/>
  <c r="F11" i="1"/>
  <c r="L26" i="2" l="1"/>
  <c r="R25" i="3"/>
  <c r="G26" i="3" s="1"/>
  <c r="L25" i="3"/>
  <c r="L28" i="4"/>
  <c r="R25" i="4"/>
  <c r="G26" i="4" s="1"/>
  <c r="L25" i="4"/>
  <c r="O28" i="4"/>
  <c r="P28" i="4"/>
  <c r="F29" i="5"/>
  <c r="P22" i="6"/>
  <c r="Q22" i="6" s="1"/>
  <c r="J21" i="7"/>
  <c r="F27" i="7"/>
  <c r="B15" i="1"/>
  <c r="P26" i="2" l="1"/>
  <c r="O26" i="2"/>
  <c r="P25" i="3"/>
  <c r="O25" i="3"/>
  <c r="Q28" i="4"/>
  <c r="K29" i="4" s="1"/>
  <c r="O25" i="4"/>
  <c r="P25" i="4"/>
  <c r="I29" i="5"/>
  <c r="R29" i="5"/>
  <c r="F30" i="5"/>
  <c r="I30" i="5" s="1"/>
  <c r="K23" i="6"/>
  <c r="L23" i="6" s="1"/>
  <c r="P23" i="6" s="1"/>
  <c r="J27" i="7"/>
  <c r="I16" i="1"/>
  <c r="H16" i="1"/>
  <c r="B14" i="1"/>
  <c r="B13" i="1"/>
  <c r="B12" i="1"/>
  <c r="B11" i="1"/>
  <c r="Q26" i="2" l="1"/>
  <c r="K27" i="2" s="1"/>
  <c r="Q25" i="3"/>
  <c r="K26" i="3" s="1"/>
  <c r="L26" i="3" s="1"/>
  <c r="Q25" i="4"/>
  <c r="R29" i="4"/>
  <c r="G30" i="4" s="1"/>
  <c r="L29" i="4"/>
  <c r="F31" i="5"/>
  <c r="I31" i="5" s="1"/>
  <c r="F33" i="5"/>
  <c r="I33" i="5" s="1"/>
  <c r="R23" i="6"/>
  <c r="G24" i="6" s="1"/>
  <c r="O23" i="6"/>
  <c r="Q23" i="6" s="1"/>
  <c r="O27" i="7"/>
  <c r="O25" i="7" s="1"/>
  <c r="L27" i="7"/>
  <c r="L25" i="7" s="1"/>
  <c r="N25" i="7" s="1"/>
  <c r="K25" i="7"/>
  <c r="O21" i="7"/>
  <c r="K21" i="7"/>
  <c r="B16" i="1"/>
  <c r="L27" i="2" l="1"/>
  <c r="R27" i="2"/>
  <c r="G28" i="2" s="1"/>
  <c r="R26" i="3"/>
  <c r="G27" i="3" s="1"/>
  <c r="P29" i="4"/>
  <c r="O29" i="4"/>
  <c r="Q29" i="4" s="1"/>
  <c r="K30" i="4" s="1"/>
  <c r="R30" i="4" s="1"/>
  <c r="G31" i="4" s="1"/>
  <c r="R31" i="4" s="1"/>
  <c r="G32" i="4" s="1"/>
  <c r="R32" i="4" s="1"/>
  <c r="G33" i="4" s="1"/>
  <c r="R33" i="4" s="1"/>
  <c r="G34" i="4" s="1"/>
  <c r="R34" i="4" s="1"/>
  <c r="G35" i="4" s="1"/>
  <c r="R35" i="4" s="1"/>
  <c r="K26" i="4"/>
  <c r="F32" i="5"/>
  <c r="I32" i="5" s="1"/>
  <c r="F35" i="5"/>
  <c r="I35" i="5" s="1"/>
  <c r="K24" i="6"/>
  <c r="L24" i="6" s="1"/>
  <c r="O24" i="6" s="1"/>
  <c r="L21" i="7"/>
  <c r="N21" i="7" s="1"/>
  <c r="N27" i="7"/>
  <c r="K27" i="7"/>
  <c r="M16" i="1"/>
  <c r="C16" i="1"/>
  <c r="D16" i="1"/>
  <c r="E16" i="1"/>
  <c r="F16" i="1"/>
  <c r="G16" i="1"/>
  <c r="J16" i="1"/>
  <c r="K16" i="1"/>
  <c r="L16" i="1"/>
  <c r="O27" i="2" l="1"/>
  <c r="P27" i="2"/>
  <c r="P26" i="3"/>
  <c r="O26" i="3"/>
  <c r="L26" i="4"/>
  <c r="R26" i="4"/>
  <c r="G36" i="4" s="1"/>
  <c r="F34" i="5"/>
  <c r="I34" i="5" s="1"/>
  <c r="F38" i="5"/>
  <c r="I38" i="5" s="1"/>
  <c r="R24" i="6"/>
  <c r="G25" i="6" s="1"/>
  <c r="P24" i="6"/>
  <c r="Q24" i="6" s="1"/>
  <c r="Q27" i="2" l="1"/>
  <c r="Q26" i="3"/>
  <c r="K27" i="3" s="1"/>
  <c r="R27" i="3" s="1"/>
  <c r="G28" i="3" s="1"/>
  <c r="L36" i="4"/>
  <c r="R36" i="4"/>
  <c r="G37" i="4" s="1"/>
  <c r="P26" i="4"/>
  <c r="O26" i="4"/>
  <c r="Q26" i="4" s="1"/>
  <c r="F36" i="5"/>
  <c r="I36" i="5" s="1"/>
  <c r="K25" i="6"/>
  <c r="L25" i="6" s="1"/>
  <c r="O25" i="6" s="1"/>
  <c r="K28" i="2" l="1"/>
  <c r="L27" i="3"/>
  <c r="P27" i="3" s="1"/>
  <c r="P36" i="4"/>
  <c r="O36" i="4"/>
  <c r="Q36" i="4" s="1"/>
  <c r="K37" i="4" s="1"/>
  <c r="L37" i="4" s="1"/>
  <c r="F40" i="5"/>
  <c r="I40" i="5" s="1"/>
  <c r="P25" i="6"/>
  <c r="Q25" i="6" s="1"/>
  <c r="R25" i="6"/>
  <c r="G26" i="6" s="1"/>
  <c r="L28" i="2" l="1"/>
  <c r="R28" i="2"/>
  <c r="G29" i="2" s="1"/>
  <c r="O27" i="3"/>
  <c r="Q27" i="3" s="1"/>
  <c r="K28" i="3" s="1"/>
  <c r="L28" i="3" s="1"/>
  <c r="P28" i="3" s="1"/>
  <c r="P37" i="4"/>
  <c r="O37" i="4"/>
  <c r="R37" i="4"/>
  <c r="G38" i="4" s="1"/>
  <c r="F44" i="5"/>
  <c r="I44" i="5" s="1"/>
  <c r="F42" i="5"/>
  <c r="I42" i="5" s="1"/>
  <c r="F46" i="5"/>
  <c r="I46" i="5" s="1"/>
  <c r="K26" i="6"/>
  <c r="R26" i="6" s="1"/>
  <c r="P28" i="2" l="1"/>
  <c r="O28" i="2"/>
  <c r="R28" i="3"/>
  <c r="G29" i="3" s="1"/>
  <c r="O28" i="3"/>
  <c r="Q28" i="3" s="1"/>
  <c r="K29" i="3" s="1"/>
  <c r="Q37" i="4"/>
  <c r="K38" i="4" s="1"/>
  <c r="L38" i="4" s="1"/>
  <c r="L26" i="6"/>
  <c r="O26" i="6" s="1"/>
  <c r="G27" i="6"/>
  <c r="H27" i="6" s="1"/>
  <c r="Q28" i="2" l="1"/>
  <c r="K29" i="2" s="1"/>
  <c r="L29" i="3"/>
  <c r="P29" i="3" s="1"/>
  <c r="R29" i="3"/>
  <c r="G30" i="3" s="1"/>
  <c r="P38" i="4"/>
  <c r="O38" i="4"/>
  <c r="R38" i="4"/>
  <c r="G39" i="4" s="1"/>
  <c r="F48" i="5"/>
  <c r="I48" i="5" s="1"/>
  <c r="J48" i="5" s="1"/>
  <c r="B54" i="5"/>
  <c r="B49" i="5"/>
  <c r="P26" i="6"/>
  <c r="Q26" i="6" s="1"/>
  <c r="K27" i="6" s="1"/>
  <c r="L29" i="2" l="1"/>
  <c r="R29" i="2"/>
  <c r="G30" i="2" s="1"/>
  <c r="O29" i="3"/>
  <c r="Q29" i="3" s="1"/>
  <c r="K30" i="3" s="1"/>
  <c r="H30" i="3"/>
  <c r="Q38" i="4"/>
  <c r="K39" i="4" s="1"/>
  <c r="R39" i="4" s="1"/>
  <c r="G40" i="4" s="1"/>
  <c r="L27" i="6"/>
  <c r="R27" i="6"/>
  <c r="P29" i="2" l="1"/>
  <c r="O29" i="2"/>
  <c r="L30" i="3"/>
  <c r="O30" i="3" s="1"/>
  <c r="R30" i="3"/>
  <c r="L39" i="4"/>
  <c r="O27" i="6"/>
  <c r="P27" i="6"/>
  <c r="Q29" i="2" l="1"/>
  <c r="K30" i="2" s="1"/>
  <c r="P30" i="3"/>
  <c r="Q30" i="3" s="1"/>
  <c r="P39" i="4"/>
  <c r="O39" i="4"/>
  <c r="Q27" i="6"/>
  <c r="Q28" i="6" s="1"/>
  <c r="L30" i="2" l="1"/>
  <c r="R30" i="2"/>
  <c r="G31" i="2" s="1"/>
  <c r="Q39" i="4"/>
  <c r="K40" i="4" s="1"/>
  <c r="L40" i="4" s="1"/>
  <c r="B31" i="6"/>
  <c r="B32" i="6" s="1"/>
  <c r="H31" i="2" l="1"/>
  <c r="P30" i="2"/>
  <c r="O30" i="2"/>
  <c r="R40" i="4"/>
  <c r="G41" i="4" s="1"/>
  <c r="P40" i="4"/>
  <c r="O40" i="4"/>
  <c r="R27" i="5"/>
  <c r="G28" i="5" s="1"/>
  <c r="L27" i="5"/>
  <c r="O27" i="5" s="1"/>
  <c r="Q30" i="2" l="1"/>
  <c r="K31" i="2" s="1"/>
  <c r="L31" i="2" s="1"/>
  <c r="P31" i="2" s="1"/>
  <c r="Q40" i="4"/>
  <c r="K41" i="4" s="1"/>
  <c r="L41" i="4" s="1"/>
  <c r="P41" i="4" s="1"/>
  <c r="P27" i="5"/>
  <c r="Q27" i="5" s="1"/>
  <c r="K28" i="5" s="1"/>
  <c r="R31" i="2" l="1"/>
  <c r="O31" i="2"/>
  <c r="Q31" i="2" s="1"/>
  <c r="Q32" i="2" s="1"/>
  <c r="R41" i="4"/>
  <c r="G42" i="4" s="1"/>
  <c r="O41" i="4"/>
  <c r="Q41" i="4" s="1"/>
  <c r="K42" i="4" s="1"/>
  <c r="R28" i="5"/>
  <c r="G38" i="5" s="1"/>
  <c r="L28" i="5"/>
  <c r="B38" i="2" l="1"/>
  <c r="B39" i="2" s="1"/>
  <c r="R42" i="4"/>
  <c r="G43" i="4" s="1"/>
  <c r="L42" i="4"/>
  <c r="O42" i="4" s="1"/>
  <c r="O28" i="5"/>
  <c r="P28" i="5"/>
  <c r="P42" i="4" l="1"/>
  <c r="Q42" i="4" s="1"/>
  <c r="K43" i="4" s="1"/>
  <c r="Q28" i="5"/>
  <c r="R43" i="4" l="1"/>
  <c r="G44" i="4" s="1"/>
  <c r="H44" i="4" s="1"/>
  <c r="L43" i="4"/>
  <c r="G30" i="5"/>
  <c r="L29" i="5"/>
  <c r="P43" i="4" l="1"/>
  <c r="O43" i="4"/>
  <c r="O29" i="5"/>
  <c r="P29" i="5"/>
  <c r="Q43" i="4" l="1"/>
  <c r="K44" i="4" s="1"/>
  <c r="Q29" i="5"/>
  <c r="K30" i="5" s="1"/>
  <c r="L44" i="4" l="1"/>
  <c r="P44" i="4" s="1"/>
  <c r="R44" i="4"/>
  <c r="L30" i="5"/>
  <c r="R30" i="5"/>
  <c r="G31" i="5" s="1"/>
  <c r="Q31" i="3" l="1"/>
  <c r="B37" i="3" s="1"/>
  <c r="O44" i="4"/>
  <c r="Q44" i="4" s="1"/>
  <c r="P30" i="5"/>
  <c r="O30" i="5"/>
  <c r="B38" i="3" l="1"/>
  <c r="Q30" i="5"/>
  <c r="Q45" i="4" l="1"/>
  <c r="B51" i="4" s="1"/>
  <c r="K31" i="5"/>
  <c r="B52" i="4" l="1"/>
  <c r="R31" i="5"/>
  <c r="G32" i="5" s="1"/>
  <c r="L31" i="5"/>
  <c r="O31" i="5" l="1"/>
  <c r="P31" i="5"/>
  <c r="Q31" i="5" l="1"/>
  <c r="K32" i="5" l="1"/>
  <c r="R32" i="5" l="1"/>
  <c r="G33" i="5" s="1"/>
  <c r="P32" i="5" l="1"/>
  <c r="O32" i="5"/>
  <c r="Q32" i="5" l="1"/>
  <c r="K33" i="5"/>
  <c r="R33" i="5" l="1"/>
  <c r="G34" i="5" s="1"/>
  <c r="P33" i="5" l="1"/>
  <c r="O33" i="5"/>
  <c r="Q33" i="5" l="1"/>
  <c r="K34" i="5"/>
  <c r="R34" i="5" l="1"/>
  <c r="G35" i="5" s="1"/>
  <c r="P34" i="5" l="1"/>
  <c r="O34" i="5"/>
  <c r="Q34" i="5" l="1"/>
  <c r="K35" i="5" s="1"/>
  <c r="R35" i="5" l="1"/>
  <c r="G36" i="5" s="1"/>
  <c r="P35" i="5" l="1"/>
  <c r="O35" i="5"/>
  <c r="Q35" i="5" l="1"/>
  <c r="K36" i="5" s="1"/>
  <c r="O36" i="5" s="1"/>
  <c r="R36" i="5" l="1"/>
  <c r="G37" i="5" s="1"/>
  <c r="P36" i="5"/>
  <c r="Q36" i="5" s="1"/>
  <c r="K37" i="5" s="1"/>
  <c r="R37" i="5" l="1"/>
  <c r="O37" i="5" l="1"/>
  <c r="P37" i="5"/>
  <c r="Q37" i="5" l="1"/>
  <c r="K38" i="5" s="1"/>
  <c r="L38" i="5" s="1"/>
  <c r="R38" i="5" l="1"/>
  <c r="G39" i="5" s="1"/>
  <c r="O38" i="5" l="1"/>
  <c r="P38" i="5"/>
  <c r="Q38" i="5" l="1"/>
  <c r="K39" i="5" s="1"/>
  <c r="L39" i="5" s="1"/>
  <c r="R39" i="5" l="1"/>
  <c r="G40" i="5" s="1"/>
  <c r="O39" i="5" l="1"/>
  <c r="P39" i="5"/>
  <c r="Q39" i="5" l="1"/>
  <c r="K40" i="5" s="1"/>
  <c r="L40" i="5" l="1"/>
  <c r="R40" i="5"/>
  <c r="G41" i="5" s="1"/>
  <c r="O40" i="5" l="1"/>
  <c r="P40" i="5"/>
  <c r="Q40" i="5" l="1"/>
  <c r="K41" i="5" s="1"/>
  <c r="L41" i="5" l="1"/>
  <c r="R41" i="5"/>
  <c r="G42" i="5" s="1"/>
  <c r="O41" i="5" l="1"/>
  <c r="P41" i="5"/>
  <c r="Q41" i="5" l="1"/>
  <c r="K42" i="5" s="1"/>
  <c r="L42" i="5" l="1"/>
  <c r="R42" i="5"/>
  <c r="G43" i="5" s="1"/>
  <c r="P42" i="5" l="1"/>
  <c r="O42" i="5"/>
  <c r="Q42" i="5" l="1"/>
  <c r="K43" i="5" s="1"/>
  <c r="L43" i="5" s="1"/>
  <c r="O43" i="5" s="1"/>
  <c r="R43" i="5" l="1"/>
  <c r="G44" i="5" s="1"/>
  <c r="P43" i="5"/>
  <c r="Q43" i="5" s="1"/>
  <c r="K44" i="5" s="1"/>
  <c r="R44" i="5" s="1"/>
  <c r="G45" i="5" s="1"/>
  <c r="L44" i="5" l="1"/>
  <c r="O44" i="5" l="1"/>
  <c r="P44" i="5"/>
  <c r="Q44" i="5" l="1"/>
  <c r="K45" i="5" s="1"/>
  <c r="R45" i="5" l="1"/>
  <c r="G46" i="5" s="1"/>
  <c r="L45" i="5"/>
  <c r="O45" i="5" l="1"/>
  <c r="P45" i="5"/>
  <c r="Q45" i="5" l="1"/>
  <c r="K46" i="5" s="1"/>
  <c r="R46" i="5" l="1"/>
  <c r="G47" i="5" s="1"/>
  <c r="L46" i="5"/>
  <c r="O46" i="5" l="1"/>
  <c r="P46" i="5"/>
  <c r="Q46" i="5" l="1"/>
  <c r="K47" i="5" s="1"/>
  <c r="R47" i="5" l="1"/>
  <c r="G48" i="5" s="1"/>
  <c r="H48" i="5" s="1"/>
  <c r="L47" i="5"/>
  <c r="P47" i="5" l="1"/>
  <c r="O47" i="5"/>
  <c r="Q47" i="5" l="1"/>
  <c r="K48" i="5" l="1"/>
  <c r="R48" i="5" s="1"/>
  <c r="L48" i="5" l="1"/>
  <c r="O48" i="5" s="1"/>
  <c r="P48" i="5" l="1"/>
  <c r="Q48" i="5" s="1"/>
  <c r="Q49" i="5" s="1"/>
  <c r="B55" i="5" s="1"/>
  <c r="B5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Lake, Erin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survey, xray, testing
</t>
        </r>
      </text>
    </comment>
    <comment ref="F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district labor, company labor and contract installation
</t>
        </r>
      </text>
    </comment>
    <comment ref="M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contingency and escalation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Lake, Erin</author>
  </authors>
  <commentList>
    <comment ref="D13" authorId="0" shapeId="0" xr:uid="{37A279AA-0E39-44B9-95A6-DB2FAFFB60CF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survey, xray, testing
</t>
        </r>
      </text>
    </comment>
    <comment ref="F13" authorId="0" shapeId="0" xr:uid="{83C78070-9BCB-4D2D-8323-7CACC65B994D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district labor, company labor and contract installation
</t>
        </r>
      </text>
    </comment>
    <comment ref="M13" authorId="0" shapeId="0" xr:uid="{62EB34A6-EBE5-4144-9E35-F2FDC4DBAAF5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contingency and escalation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Lake, Erin</author>
  </authors>
  <commentList>
    <comment ref="D13" authorId="0" shapeId="0" xr:uid="{A2155838-6876-4230-AECE-B69D3FA93FED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survey, xray, testing
</t>
        </r>
      </text>
    </comment>
    <comment ref="F13" authorId="0" shapeId="0" xr:uid="{14F41052-6651-4170-957D-BD77EA195678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district labor, company labor and contract installation
</t>
        </r>
      </text>
    </comment>
    <comment ref="M13" authorId="0" shapeId="0" xr:uid="{D8E8B3D6-184C-42DE-8A98-4C5C2DE6BDEA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contingency and escalation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Lake, Erin</author>
  </authors>
  <commentList>
    <comment ref="D13" authorId="0" shapeId="0" xr:uid="{183CEE57-14DB-4AFD-A34E-E80D8A4C3654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survey, xray, testing
</t>
        </r>
      </text>
    </comment>
    <comment ref="F13" authorId="0" shapeId="0" xr:uid="{5ABEA7A0-7DED-4D37-B953-99E3C1625169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district labor, company labor and contract installation
</t>
        </r>
      </text>
    </comment>
    <comment ref="M13" authorId="0" shapeId="0" xr:uid="{A5CE52DC-921C-4839-9F2E-35F4AA68161B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contingency and escalation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Lake, Erin</author>
  </authors>
  <commentList>
    <comment ref="D14" authorId="0" shapeId="0" xr:uid="{5557EC7E-F1A3-4A37-93BA-1C9FB4BA5442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survey, xray, testing
</t>
        </r>
      </text>
    </comment>
    <comment ref="F14" authorId="0" shapeId="0" xr:uid="{536F6773-9787-43D8-93B8-753417026C10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district labor, company labor and contract installation
</t>
        </r>
      </text>
    </comment>
    <comment ref="M14" authorId="0" shapeId="0" xr:uid="{91D821BA-566E-4102-81BC-0F07E2BD7CBF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contingency and escalation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Lake, Erin</author>
  </authors>
  <commentList>
    <comment ref="E11" authorId="0" shapeId="0" xr:uid="{E8053EC0-EE53-4A65-B48A-ACF4E4197B3F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survey, xray, testing
</t>
        </r>
      </text>
    </comment>
    <comment ref="G11" authorId="0" shapeId="0" xr:uid="{3094F3CD-5452-46A6-811A-D0B45DAB8BE1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district labor, company labor and contract installation
</t>
        </r>
      </text>
    </comment>
    <comment ref="N11" authorId="0" shapeId="0" xr:uid="{8A1B24C0-57C8-477F-A265-833B064080D3}">
      <text>
        <r>
          <rPr>
            <b/>
            <sz val="9"/>
            <color indexed="81"/>
            <rFont val="Tahoma"/>
            <family val="2"/>
          </rPr>
          <t>Lake, Erin:</t>
        </r>
        <r>
          <rPr>
            <sz val="9"/>
            <color indexed="81"/>
            <rFont val="Tahoma"/>
            <family val="2"/>
          </rPr>
          <t xml:space="preserve">
contingency and escalation</t>
        </r>
      </text>
    </comment>
  </commentList>
</comments>
</file>

<file path=xl/sharedStrings.xml><?xml version="1.0" encoding="utf-8"?>
<sst xmlns="http://schemas.openxmlformats.org/spreadsheetml/2006/main" count="337" uniqueCount="103">
  <si>
    <t>Northern Natural Gas Company</t>
  </si>
  <si>
    <t>Exhibit K</t>
  </si>
  <si>
    <t>Page 1 of 1</t>
  </si>
  <si>
    <t>Exhibit K -  Cost Summary of Project Estimates</t>
  </si>
  <si>
    <t>Description</t>
  </si>
  <si>
    <t>Total Cost</t>
  </si>
  <si>
    <t>Right of</t>
  </si>
  <si>
    <t xml:space="preserve">Engineering &amp; </t>
  </si>
  <si>
    <t>Way</t>
  </si>
  <si>
    <t>Surveys</t>
  </si>
  <si>
    <t>Materials</t>
  </si>
  <si>
    <t>Labor</t>
  </si>
  <si>
    <t>Inspection</t>
  </si>
  <si>
    <r>
      <t xml:space="preserve">Taxes </t>
    </r>
    <r>
      <rPr>
        <vertAlign val="subscript"/>
        <sz val="8"/>
        <rFont val="Times New Roman"/>
        <family val="1"/>
      </rPr>
      <t>1</t>
    </r>
  </si>
  <si>
    <r>
      <t xml:space="preserve">Freight </t>
    </r>
    <r>
      <rPr>
        <vertAlign val="subscript"/>
        <sz val="8"/>
        <rFont val="Times New Roman"/>
        <family val="1"/>
      </rPr>
      <t>2</t>
    </r>
  </si>
  <si>
    <t>Environmental</t>
  </si>
  <si>
    <t>AFUDC</t>
  </si>
  <si>
    <t>Contingencies</t>
  </si>
  <si>
    <t>GRAND TOTAL</t>
  </si>
  <si>
    <r>
      <t xml:space="preserve">1 </t>
    </r>
    <r>
      <rPr>
        <sz val="8"/>
        <rFont val="Times New Roman"/>
        <family val="1"/>
      </rPr>
      <t>Taxes are included in total cost of materials</t>
    </r>
  </si>
  <si>
    <r>
      <t>2</t>
    </r>
    <r>
      <rPr>
        <sz val="8"/>
        <rFont val="Times New Roman"/>
        <family val="1"/>
      </rPr>
      <t xml:space="preserve"> Freight cost are included in total cost of materials</t>
    </r>
  </si>
  <si>
    <t>Overhead</t>
  </si>
  <si>
    <t>Farmington to Hugo C-line Extension</t>
  </si>
  <si>
    <t>Elk River 3rd Branch Line Extension</t>
  </si>
  <si>
    <t>Lake Mills to Albert Lea E-line Extension</t>
  </si>
  <si>
    <t>Tomah Branch Line Loop Extension</t>
  </si>
  <si>
    <t>La Crescent Compressor Station Modifications</t>
  </si>
  <si>
    <t>Esttimated Consturction Start Date</t>
  </si>
  <si>
    <t>Estimated Construction In Service Date</t>
  </si>
  <si>
    <t>01146981</t>
  </si>
  <si>
    <t>01147076</t>
  </si>
  <si>
    <t>01146980</t>
  </si>
  <si>
    <t>Docket No. CP24-60-000</t>
  </si>
  <si>
    <t>Work Order No.</t>
  </si>
  <si>
    <t>FERC Data Request: 2.1 AFUDC</t>
  </si>
  <si>
    <t>NORTHERN NATURAL GAS COMPANY</t>
  </si>
  <si>
    <t>SEMIANNUAL</t>
  </si>
  <si>
    <t>Capitalization</t>
  </si>
  <si>
    <t>COMPOUNDED</t>
  </si>
  <si>
    <t>Line</t>
  </si>
  <si>
    <t>at</t>
  </si>
  <si>
    <t>ANNUAL</t>
  </si>
  <si>
    <t>MONTHLY</t>
  </si>
  <si>
    <t>No.</t>
  </si>
  <si>
    <t>Capitalization Items</t>
  </si>
  <si>
    <t>Percent</t>
  </si>
  <si>
    <t>Rate</t>
  </si>
  <si>
    <t>AFUDC RATE</t>
  </si>
  <si>
    <t>(a)</t>
  </si>
  <si>
    <t>(e)</t>
  </si>
  <si>
    <t>(f)</t>
  </si>
  <si>
    <t>(g)</t>
  </si>
  <si>
    <t>(h)</t>
  </si>
  <si>
    <t>(I)</t>
  </si>
  <si>
    <t>1</t>
  </si>
  <si>
    <t>DEBT CAPITAL</t>
  </si>
  <si>
    <t>2</t>
  </si>
  <si>
    <t>PREFERRED STOCK CAPITAL</t>
  </si>
  <si>
    <t>3</t>
  </si>
  <si>
    <t>COMMON STOCK EQUITY</t>
  </si>
  <si>
    <t>Semiannual Compounded AFUDC Rate Formula</t>
  </si>
  <si>
    <t>4</t>
  </si>
  <si>
    <t>TOTAL CAPITALIZATION</t>
  </si>
  <si>
    <t>Monthly AFUDC Rate = [(1+annual AFUDC rate/2)^2^(1/12)]-1</t>
  </si>
  <si>
    <t>Northern Lights 2025</t>
  </si>
  <si>
    <t>2024 AFUDC RATE CALCULATION</t>
  </si>
  <si>
    <t>12/31/2023</t>
  </si>
  <si>
    <t>Method: AFUDC Reduced Rate (Compensates for inclusion of accrued AFUDC in base to prevent compounding more frequently than semiannually)</t>
  </si>
  <si>
    <t>Monthly AFUDC Rate Formula: = [(1+annual AFUDC rate/2)^2^(1/12)]-1</t>
  </si>
  <si>
    <t>Frequency of Compounding: Semiannualy</t>
  </si>
  <si>
    <t>AFUDC Month</t>
  </si>
  <si>
    <t>Construction Charges Paid</t>
  </si>
  <si>
    <t>Land And Land Rights Adjustment</t>
  </si>
  <si>
    <t>Accrual Adjustment</t>
  </si>
  <si>
    <t>Foot Note</t>
  </si>
  <si>
    <t>AFUDC Base Additions</t>
  </si>
  <si>
    <t>Beginning AFUDC Base</t>
  </si>
  <si>
    <t>1/2 Month Beginning Base Adjustment for In Service</t>
  </si>
  <si>
    <t>Half Current Month AFUDC Base Additions</t>
  </si>
  <si>
    <t>Base Addition Adjustment for In Service</t>
  </si>
  <si>
    <t>AFUDC Compund Amount</t>
  </si>
  <si>
    <t>AFUDC Base</t>
  </si>
  <si>
    <t>Monthly AFUDC Debt Rate</t>
  </si>
  <si>
    <t>Monthly AFUDC Equity Rate</t>
  </si>
  <si>
    <t>AFUDC Debt</t>
  </si>
  <si>
    <t>AFUDC Equity</t>
  </si>
  <si>
    <t>Total AFUDC</t>
  </si>
  <si>
    <t>Ending AFUDC Base</t>
  </si>
  <si>
    <t>Total Project Cost</t>
  </si>
  <si>
    <r>
      <t xml:space="preserve">Taxes </t>
    </r>
    <r>
      <rPr>
        <b/>
        <vertAlign val="subscript"/>
        <sz val="9"/>
        <rFont val="Times New Roman"/>
        <family val="1"/>
      </rPr>
      <t>1</t>
    </r>
  </si>
  <si>
    <r>
      <t xml:space="preserve">Freight </t>
    </r>
    <r>
      <rPr>
        <b/>
        <vertAlign val="subscript"/>
        <sz val="9"/>
        <rFont val="Times New Roman"/>
        <family val="1"/>
      </rPr>
      <t>2</t>
    </r>
  </si>
  <si>
    <t>Exhibit 7</t>
  </si>
  <si>
    <t>01146966, 01147074, 01147075</t>
  </si>
  <si>
    <t>1/</t>
  </si>
  <si>
    <t>01147083, 01147084</t>
  </si>
  <si>
    <r>
      <t xml:space="preserve">Taxes </t>
    </r>
    <r>
      <rPr>
        <vertAlign val="subscript"/>
        <sz val="9"/>
        <rFont val="Times New Roman"/>
        <family val="1"/>
      </rPr>
      <t>1</t>
    </r>
  </si>
  <si>
    <r>
      <t xml:space="preserve">Freight </t>
    </r>
    <r>
      <rPr>
        <vertAlign val="subscript"/>
        <sz val="9"/>
        <rFont val="Times New Roman"/>
        <family val="1"/>
      </rPr>
      <t>2</t>
    </r>
  </si>
  <si>
    <t>Exhibit K-1</t>
  </si>
  <si>
    <t>Exhibit K-2</t>
  </si>
  <si>
    <t>Exhibit K-3</t>
  </si>
  <si>
    <t>Exhibit K-4</t>
  </si>
  <si>
    <t>Exhibit K - 5</t>
  </si>
  <si>
    <t>1/ AFUDC suspended until FERC order received to begin construction.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</si>
</sst>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%"/>
    <numFmt numFmtId="167" formatCode="0.0000%"/>
    <numFmt numFmtId="168" formatCode="0.0000000%"/>
    <numFmt numFmtId="169" formatCode="0.00000%"/>
    <numFmt numFmtId="170" formatCode="0.000000%"/>
    <numFmt numFmtId="171" formatCode="0.0%"/>
    <numFmt numFmtId="172" formatCode="_(* #,##0_);_(* \(#,##0\);_(* &quot;-&quot;??_);_(@_)"/>
    <numFmt numFmtId="173" formatCode="[$-409]mmm\-yy;@"/>
    <numFmt numFmtId="174" formatCode="_(&quot;$&quot;* #,##0.000_);_(&quot;$&quot;* \(#,##0.000\);_(&quot;$&quot;* &quot;-&quot;??_);_(@_)"/>
  </numFmts>
  <fonts count="23" x14ac:knownFonts="1">
    <font>
      <sz val="10"/>
      <name val="MS Sans Serif"/>
    </font>
    <font>
      <sz val="12"/>
      <name val="Times New Roman"/>
      <family val="1"/>
    </font>
    <font>
      <sz val="8"/>
      <name val="Times New Roman"/>
      <family val="1"/>
    </font>
    <font>
      <vertAlign val="subscript"/>
      <sz val="8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MS Sans Serif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MS Sans Serif"/>
    </font>
    <font>
      <sz val="12"/>
      <name val="Helv"/>
    </font>
    <font>
      <sz val="10"/>
      <name val="Arial"/>
      <family val="2"/>
    </font>
    <font>
      <b/>
      <vertAlign val="subscript"/>
      <sz val="9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vertAlign val="subscript"/>
      <sz val="9"/>
      <name val="Times New Roman"/>
      <family val="1"/>
    </font>
    <font>
      <b/>
      <sz val="8"/>
      <color theme="1"/>
      <name val="Times New Roman"/>
      <family val="1"/>
    </font>
    <font>
      <sz val="8"/>
      <color indexed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125">
        <bgColor indexed="43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5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2" fillId="3" borderId="5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Continuous"/>
    </xf>
    <xf numFmtId="164" fontId="9" fillId="3" borderId="5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3" borderId="5" xfId="0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" fontId="8" fillId="0" borderId="0" xfId="1" quotePrefix="1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8" fillId="0" borderId="4" xfId="0" applyFont="1" applyBorder="1"/>
    <xf numFmtId="164" fontId="8" fillId="0" borderId="5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8" fillId="0" borderId="0" xfId="0" applyFont="1"/>
    <xf numFmtId="0" fontId="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165" fontId="9" fillId="5" borderId="20" xfId="0" applyNumberFormat="1" applyFont="1" applyFill="1" applyBorder="1"/>
    <xf numFmtId="165" fontId="9" fillId="0" borderId="0" xfId="0" applyNumberFormat="1" applyFont="1"/>
    <xf numFmtId="0" fontId="9" fillId="0" borderId="0" xfId="0" applyFont="1" applyAlignment="1">
      <alignment horizontal="center"/>
    </xf>
    <xf numFmtId="165" fontId="9" fillId="5" borderId="19" xfId="0" applyNumberFormat="1" applyFont="1" applyFill="1" applyBorder="1"/>
    <xf numFmtId="173" fontId="9" fillId="0" borderId="0" xfId="0" applyNumberFormat="1" applyFont="1" applyAlignment="1">
      <alignment horizontal="center"/>
    </xf>
    <xf numFmtId="165" fontId="9" fillId="0" borderId="0" xfId="2" applyNumberFormat="1" applyFont="1" applyAlignment="1">
      <alignment horizontal="left"/>
    </xf>
    <xf numFmtId="165" fontId="9" fillId="0" borderId="0" xfId="2" applyNumberFormat="1" applyFont="1" applyFill="1" applyAlignment="1">
      <alignment horizontal="left"/>
    </xf>
    <xf numFmtId="165" fontId="9" fillId="0" borderId="0" xfId="2" applyNumberFormat="1" applyFont="1" applyFill="1"/>
    <xf numFmtId="165" fontId="9" fillId="4" borderId="0" xfId="2" applyNumberFormat="1" applyFont="1" applyFill="1"/>
    <xf numFmtId="170" fontId="9" fillId="0" borderId="0" xfId="3" applyNumberFormat="1" applyFont="1" applyFill="1"/>
    <xf numFmtId="165" fontId="9" fillId="0" borderId="0" xfId="1" applyNumberFormat="1" applyFont="1" applyFill="1"/>
    <xf numFmtId="165" fontId="9" fillId="0" borderId="0" xfId="1" applyNumberFormat="1" applyFont="1"/>
    <xf numFmtId="173" fontId="9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1" fontId="9" fillId="0" borderId="23" xfId="1" quotePrefix="1" applyNumberFormat="1" applyFont="1" applyBorder="1" applyAlignment="1">
      <alignment horizontal="center"/>
    </xf>
    <xf numFmtId="0" fontId="8" fillId="0" borderId="23" xfId="0" applyFont="1" applyBorder="1"/>
    <xf numFmtId="170" fontId="9" fillId="0" borderId="0" xfId="3" applyNumberFormat="1" applyFont="1" applyFill="1" applyAlignment="1">
      <alignment horizontal="center"/>
    </xf>
    <xf numFmtId="0" fontId="10" fillId="0" borderId="1" xfId="0" applyFont="1" applyBorder="1"/>
    <xf numFmtId="165" fontId="9" fillId="0" borderId="20" xfId="0" applyNumberFormat="1" applyFont="1" applyBorder="1"/>
    <xf numFmtId="44" fontId="9" fillId="0" borderId="0" xfId="1" applyNumberFormat="1" applyFont="1" applyFill="1"/>
    <xf numFmtId="44" fontId="9" fillId="0" borderId="0" xfId="1" applyNumberFormat="1" applyFont="1"/>
    <xf numFmtId="44" fontId="9" fillId="0" borderId="0" xfId="0" applyNumberFormat="1" applyFont="1"/>
    <xf numFmtId="169" fontId="9" fillId="0" borderId="0" xfId="3" applyNumberFormat="1" applyFont="1" applyFill="1" applyAlignment="1">
      <alignment horizontal="center"/>
    </xf>
    <xf numFmtId="164" fontId="9" fillId="0" borderId="0" xfId="0" applyNumberFormat="1" applyFont="1"/>
    <xf numFmtId="0" fontId="9" fillId="3" borderId="3" xfId="0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4" fillId="0" borderId="0" xfId="1" quotePrefix="1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19" fillId="0" borderId="0" xfId="0" applyFont="1"/>
    <xf numFmtId="0" fontId="4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173" fontId="2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left"/>
    </xf>
    <xf numFmtId="165" fontId="2" fillId="0" borderId="0" xfId="2" applyNumberFormat="1" applyFont="1" applyFill="1" applyAlignment="1">
      <alignment horizontal="left"/>
    </xf>
    <xf numFmtId="165" fontId="2" fillId="0" borderId="0" xfId="2" applyNumberFormat="1" applyFont="1" applyFill="1"/>
    <xf numFmtId="165" fontId="2" fillId="4" borderId="0" xfId="2" applyNumberFormat="1" applyFont="1" applyFill="1"/>
    <xf numFmtId="170" fontId="2" fillId="0" borderId="0" xfId="3" applyNumberFormat="1" applyFont="1" applyFill="1" applyAlignment="1">
      <alignment horizontal="center"/>
    </xf>
    <xf numFmtId="169" fontId="2" fillId="0" borderId="0" xfId="3" applyNumberFormat="1" applyFont="1" applyFill="1" applyAlignment="1">
      <alignment horizontal="center"/>
    </xf>
    <xf numFmtId="165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2" fillId="5" borderId="19" xfId="0" applyNumberFormat="1" applyFont="1" applyFill="1" applyBorder="1"/>
    <xf numFmtId="164" fontId="9" fillId="0" borderId="1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3" borderId="5" xfId="0" quotePrefix="1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center"/>
    </xf>
    <xf numFmtId="165" fontId="9" fillId="5" borderId="0" xfId="0" applyNumberFormat="1" applyFont="1" applyFill="1"/>
    <xf numFmtId="0" fontId="2" fillId="0" borderId="0" xfId="0" quotePrefix="1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2" fillId="5" borderId="20" xfId="0" applyNumberFormat="1" applyFont="1" applyFill="1" applyBorder="1"/>
    <xf numFmtId="165" fontId="2" fillId="5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/>
    <xf numFmtId="174" fontId="2" fillId="0" borderId="0" xfId="0" applyNumberFormat="1" applyFont="1"/>
    <xf numFmtId="164" fontId="2" fillId="5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Continuous"/>
    </xf>
    <xf numFmtId="0" fontId="4" fillId="3" borderId="5" xfId="0" applyFont="1" applyFill="1" applyBorder="1" applyAlignment="1">
      <alignment horizontal="left"/>
    </xf>
    <xf numFmtId="164" fontId="4" fillId="3" borderId="5" xfId="0" applyNumberFormat="1" applyFont="1" applyFill="1" applyBorder="1" applyAlignment="1">
      <alignment horizontal="center"/>
    </xf>
    <xf numFmtId="0" fontId="2" fillId="0" borderId="0" xfId="4" applyFont="1"/>
    <xf numFmtId="169" fontId="2" fillId="0" borderId="0" xfId="4" applyNumberFormat="1" applyFont="1" applyProtection="1">
      <protection locked="0"/>
    </xf>
    <xf numFmtId="168" fontId="2" fillId="0" borderId="0" xfId="4" applyNumberFormat="1" applyFont="1" applyProtection="1">
      <protection locked="0"/>
    </xf>
    <xf numFmtId="172" fontId="2" fillId="0" borderId="0" xfId="6" applyNumberFormat="1" applyFont="1"/>
    <xf numFmtId="0" fontId="21" fillId="0" borderId="0" xfId="0" applyFont="1" applyAlignment="1">
      <alignment horizontal="left"/>
    </xf>
    <xf numFmtId="0" fontId="2" fillId="0" borderId="0" xfId="4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4" applyFont="1" applyAlignment="1">
      <alignment horizontal="centerContinuous"/>
    </xf>
    <xf numFmtId="0" fontId="2" fillId="0" borderId="0" xfId="4" applyFont="1" applyAlignment="1">
      <alignment horizontal="centerContinuous"/>
    </xf>
    <xf numFmtId="0" fontId="4" fillId="0" borderId="0" xfId="4" applyFont="1"/>
    <xf numFmtId="44" fontId="2" fillId="0" borderId="0" xfId="5" applyFont="1"/>
    <xf numFmtId="43" fontId="2" fillId="0" borderId="0" xfId="6" applyFont="1"/>
    <xf numFmtId="43" fontId="2" fillId="0" borderId="0" xfId="4" applyNumberFormat="1" applyFont="1" applyAlignment="1">
      <alignment horizontal="centerContinuous"/>
    </xf>
    <xf numFmtId="0" fontId="2" fillId="0" borderId="0" xfId="4" applyFont="1" applyAlignment="1">
      <alignment horizontal="center"/>
    </xf>
    <xf numFmtId="0" fontId="2" fillId="0" borderId="9" xfId="4" applyFont="1" applyBorder="1" applyAlignment="1">
      <alignment horizontal="center"/>
    </xf>
    <xf numFmtId="14" fontId="22" fillId="0" borderId="9" xfId="4" quotePrefix="1" applyNumberFormat="1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165" fontId="2" fillId="0" borderId="0" xfId="2" applyNumberFormat="1" applyFont="1"/>
    <xf numFmtId="166" fontId="2" fillId="0" borderId="0" xfId="4" applyNumberFormat="1" applyFont="1"/>
    <xf numFmtId="10" fontId="22" fillId="0" borderId="0" xfId="4" applyNumberFormat="1" applyFont="1" applyAlignment="1" applyProtection="1">
      <alignment horizontal="center"/>
      <protection locked="0"/>
    </xf>
    <xf numFmtId="10" fontId="2" fillId="0" borderId="0" xfId="4" applyNumberFormat="1" applyFont="1" applyAlignment="1" applyProtection="1">
      <alignment horizontal="center"/>
      <protection locked="0"/>
    </xf>
    <xf numFmtId="10" fontId="2" fillId="0" borderId="0" xfId="7" applyNumberFormat="1" applyFont="1" applyAlignment="1">
      <alignment horizontal="center"/>
    </xf>
    <xf numFmtId="167" fontId="2" fillId="0" borderId="10" xfId="7" applyNumberFormat="1" applyFont="1" applyFill="1" applyBorder="1" applyAlignment="1">
      <alignment horizontal="center"/>
    </xf>
    <xf numFmtId="10" fontId="2" fillId="0" borderId="0" xfId="7" applyNumberFormat="1" applyFont="1" applyFill="1" applyAlignment="1">
      <alignment horizontal="center"/>
    </xf>
    <xf numFmtId="167" fontId="2" fillId="0" borderId="0" xfId="4" applyNumberFormat="1" applyFont="1" applyAlignment="1" applyProtection="1">
      <alignment horizontal="center"/>
      <protection locked="0"/>
    </xf>
    <xf numFmtId="168" fontId="2" fillId="0" borderId="0" xfId="4" applyNumberFormat="1" applyFont="1" applyAlignment="1" applyProtection="1">
      <alignment horizontal="center"/>
      <protection locked="0"/>
    </xf>
    <xf numFmtId="167" fontId="2" fillId="0" borderId="0" xfId="7" applyNumberFormat="1" applyFont="1" applyFill="1" applyBorder="1" applyAlignment="1">
      <alignment horizontal="center"/>
    </xf>
    <xf numFmtId="0" fontId="22" fillId="0" borderId="0" xfId="4" applyFont="1" applyAlignment="1" applyProtection="1">
      <alignment horizontal="center"/>
      <protection locked="0"/>
    </xf>
    <xf numFmtId="165" fontId="21" fillId="0" borderId="0" xfId="2" applyNumberFormat="1" applyFont="1"/>
    <xf numFmtId="166" fontId="2" fillId="0" borderId="9" xfId="4" applyNumberFormat="1" applyFont="1" applyBorder="1"/>
    <xf numFmtId="166" fontId="22" fillId="0" borderId="0" xfId="4" applyNumberFormat="1" applyFont="1" applyAlignment="1" applyProtection="1">
      <alignment horizontal="center"/>
      <protection locked="0"/>
    </xf>
    <xf numFmtId="0" fontId="2" fillId="0" borderId="0" xfId="4" quotePrefix="1" applyFont="1" applyAlignment="1">
      <alignment horizontal="center"/>
    </xf>
    <xf numFmtId="10" fontId="2" fillId="0" borderId="9" xfId="4" applyNumberFormat="1" applyFont="1" applyBorder="1" applyAlignment="1" applyProtection="1">
      <alignment horizontal="center"/>
      <protection locked="0"/>
    </xf>
    <xf numFmtId="168" fontId="2" fillId="0" borderId="0" xfId="4" applyNumberFormat="1" applyFont="1" applyAlignment="1">
      <alignment horizontal="center"/>
    </xf>
    <xf numFmtId="170" fontId="2" fillId="0" borderId="0" xfId="7" applyNumberFormat="1" applyFont="1" applyFill="1" applyAlignment="1">
      <alignment horizontal="center"/>
    </xf>
    <xf numFmtId="165" fontId="2" fillId="0" borderId="14" xfId="5" applyNumberFormat="1" applyFont="1" applyBorder="1" applyProtection="1"/>
    <xf numFmtId="166" fontId="2" fillId="0" borderId="14" xfId="4" applyNumberFormat="1" applyFont="1" applyBorder="1"/>
    <xf numFmtId="10" fontId="2" fillId="0" borderId="15" xfId="4" applyNumberFormat="1" applyFont="1" applyBorder="1" applyAlignment="1" applyProtection="1">
      <alignment horizontal="center"/>
      <protection locked="0"/>
    </xf>
    <xf numFmtId="167" fontId="2" fillId="0" borderId="15" xfId="4" applyNumberFormat="1" applyFont="1" applyBorder="1" applyAlignment="1" applyProtection="1">
      <alignment horizontal="center"/>
      <protection locked="0"/>
    </xf>
    <xf numFmtId="0" fontId="2" fillId="0" borderId="0" xfId="4" quotePrefix="1" applyFont="1"/>
    <xf numFmtId="171" fontId="2" fillId="0" borderId="0" xfId="4" applyNumberFormat="1" applyFont="1" applyAlignment="1" applyProtection="1">
      <alignment horizontal="center"/>
      <protection locked="0"/>
    </xf>
    <xf numFmtId="167" fontId="2" fillId="0" borderId="0" xfId="4" applyNumberFormat="1" applyFont="1"/>
    <xf numFmtId="43" fontId="2" fillId="0" borderId="0" xfId="6" applyFont="1" applyFill="1" applyBorder="1"/>
    <xf numFmtId="43" fontId="2" fillId="0" borderId="0" xfId="4" applyNumberFormat="1" applyFont="1"/>
    <xf numFmtId="0" fontId="21" fillId="0" borderId="0" xfId="4" applyFont="1"/>
    <xf numFmtId="165" fontId="2" fillId="0" borderId="20" xfId="0" applyNumberFormat="1" applyFont="1" applyBorder="1"/>
    <xf numFmtId="174" fontId="9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0" fontId="21" fillId="0" borderId="0" xfId="0" applyFont="1" applyAlignment="1">
      <alignment horizontal="left"/>
    </xf>
    <xf numFmtId="0" fontId="4" fillId="0" borderId="11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21" fillId="0" borderId="16" xfId="4" applyFont="1" applyBorder="1" applyAlignment="1">
      <alignment horizontal="center"/>
    </xf>
    <xf numFmtId="0" fontId="21" fillId="0" borderId="17" xfId="4" applyFont="1" applyBorder="1" applyAlignment="1">
      <alignment horizontal="center"/>
    </xf>
    <xf numFmtId="0" fontId="21" fillId="0" borderId="18" xfId="4" applyFont="1" applyBorder="1" applyAlignment="1">
      <alignment horizontal="center"/>
    </xf>
  </cellXfs>
  <cellStyles count="8">
    <cellStyle name="Comma" xfId="1" builtinId="3"/>
    <cellStyle name="Comma 3" xfId="6" xr:uid="{DB06AE4D-0A24-47D7-8B33-BD48F5700FEC}"/>
    <cellStyle name="Currency" xfId="2" builtinId="4"/>
    <cellStyle name="Currency 3" xfId="5" xr:uid="{E6C5A6F9-B74B-4C8B-9506-3811552AAF69}"/>
    <cellStyle name="Normal" xfId="0" builtinId="0"/>
    <cellStyle name="Normal 2" xfId="4" xr:uid="{3DFC1DF5-F3E9-4767-A1DE-A2BB4C47D2C0}"/>
    <cellStyle name="Percent" xfId="3" builtinId="5"/>
    <cellStyle name="Percent 3" xfId="7" xr:uid="{CD9AA618-C724-40CB-BBE0-B05167A98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topLeftCell="D1" zoomScale="115" zoomScaleNormal="115" workbookViewId="0">
      <pane ySplit="10" topLeftCell="A11" activePane="bottomLeft" state="frozen"/>
      <selection pane="bottomLeft" activeCell="G25" sqref="G24:H25"/>
    </sheetView>
  </sheetViews>
  <sheetFormatPr defaultColWidth="9.140625" defaultRowHeight="11.25" x14ac:dyDescent="0.2"/>
  <cols>
    <col min="1" max="1" width="33.5703125" style="4" customWidth="1"/>
    <col min="2" max="13" width="14.5703125" style="13" customWidth="1"/>
    <col min="14" max="16384" width="9.140625" style="4"/>
  </cols>
  <sheetData>
    <row r="1" spans="1:13" x14ac:dyDescent="0.2">
      <c r="B1" s="87"/>
      <c r="K1" s="4"/>
      <c r="M1" s="85" t="s">
        <v>0</v>
      </c>
    </row>
    <row r="2" spans="1:13" x14ac:dyDescent="0.2">
      <c r="B2" s="87"/>
      <c r="J2" s="4"/>
      <c r="K2" s="4"/>
      <c r="M2" s="84" t="s">
        <v>1</v>
      </c>
    </row>
    <row r="3" spans="1:13" x14ac:dyDescent="0.2">
      <c r="K3" s="4"/>
      <c r="M3" s="85" t="s">
        <v>2</v>
      </c>
    </row>
    <row r="4" spans="1:13" x14ac:dyDescent="0.2">
      <c r="A4" s="119" t="s">
        <v>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7" spans="1:13" ht="12.75" customHeigh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.75" customHeight="1" x14ac:dyDescent="0.2">
      <c r="A8" s="5" t="s">
        <v>4</v>
      </c>
      <c r="B8" s="6" t="s">
        <v>5</v>
      </c>
      <c r="C8" s="6" t="s">
        <v>6</v>
      </c>
      <c r="D8" s="6"/>
      <c r="E8" s="6"/>
      <c r="F8" s="6"/>
      <c r="G8" s="6" t="s">
        <v>7</v>
      </c>
      <c r="H8" s="6"/>
      <c r="I8" s="6"/>
      <c r="J8" s="6"/>
      <c r="K8" s="6"/>
      <c r="L8" s="6"/>
      <c r="M8" s="6"/>
    </row>
    <row r="9" spans="1:13" ht="12.75" customHeight="1" x14ac:dyDescent="0.25">
      <c r="A9" s="7"/>
      <c r="B9" s="8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21</v>
      </c>
      <c r="L9" s="8" t="s">
        <v>16</v>
      </c>
      <c r="M9" s="8" t="s">
        <v>17</v>
      </c>
    </row>
    <row r="10" spans="1:13" ht="6" customHeight="1" x14ac:dyDescent="0.2">
      <c r="A10" s="9"/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1"/>
    </row>
    <row r="11" spans="1:13" ht="12" customHeight="1" x14ac:dyDescent="0.2">
      <c r="A11" s="15" t="s">
        <v>24</v>
      </c>
      <c r="B11" s="16">
        <f t="shared" ref="B11:B14" si="0">SUM(C11:M11)</f>
        <v>20408494</v>
      </c>
      <c r="C11" s="16">
        <v>430000</v>
      </c>
      <c r="D11" s="16">
        <v>924000</v>
      </c>
      <c r="E11" s="16">
        <v>5791394</v>
      </c>
      <c r="F11" s="16">
        <f>8031607+983089</f>
        <v>9014696</v>
      </c>
      <c r="G11" s="16">
        <v>1475000</v>
      </c>
      <c r="H11" s="16">
        <v>0</v>
      </c>
      <c r="I11" s="16">
        <v>0</v>
      </c>
      <c r="J11" s="16">
        <v>1200000</v>
      </c>
      <c r="K11" s="16">
        <v>380890</v>
      </c>
      <c r="L11" s="16">
        <v>299914</v>
      </c>
      <c r="M11" s="16">
        <v>892600</v>
      </c>
    </row>
    <row r="12" spans="1:13" s="12" customFormat="1" ht="12" customHeight="1" x14ac:dyDescent="0.2">
      <c r="A12" s="15" t="s">
        <v>22</v>
      </c>
      <c r="B12" s="16">
        <f t="shared" si="0"/>
        <v>15732600</v>
      </c>
      <c r="C12" s="16">
        <v>288596</v>
      </c>
      <c r="D12" s="16">
        <v>290000</v>
      </c>
      <c r="E12" s="16">
        <v>3376431</v>
      </c>
      <c r="F12" s="16">
        <f>8295929+757849</f>
        <v>9053778</v>
      </c>
      <c r="G12" s="16">
        <v>1002541</v>
      </c>
      <c r="H12" s="16">
        <v>0</v>
      </c>
      <c r="I12" s="16">
        <v>0</v>
      </c>
      <c r="J12" s="16">
        <v>587000</v>
      </c>
      <c r="K12" s="16">
        <v>293623</v>
      </c>
      <c r="L12" s="16">
        <v>231199</v>
      </c>
      <c r="M12" s="16">
        <v>609432</v>
      </c>
    </row>
    <row r="13" spans="1:13" ht="12" customHeight="1" x14ac:dyDescent="0.2">
      <c r="A13" s="15" t="s">
        <v>23</v>
      </c>
      <c r="B13" s="16">
        <f t="shared" si="0"/>
        <v>19966938</v>
      </c>
      <c r="C13" s="16">
        <v>674500</v>
      </c>
      <c r="D13" s="16">
        <v>378500</v>
      </c>
      <c r="E13" s="16">
        <v>4006683</v>
      </c>
      <c r="F13" s="16">
        <f>10176287+961819</f>
        <v>11138106</v>
      </c>
      <c r="G13" s="16">
        <v>1265000</v>
      </c>
      <c r="H13" s="16">
        <v>0</v>
      </c>
      <c r="I13" s="16">
        <v>0</v>
      </c>
      <c r="J13" s="16">
        <v>750000</v>
      </c>
      <c r="K13" s="16">
        <v>315849</v>
      </c>
      <c r="L13" s="16">
        <v>230732</v>
      </c>
      <c r="M13" s="16">
        <v>1207568</v>
      </c>
    </row>
    <row r="14" spans="1:13" s="12" customFormat="1" ht="12" customHeight="1" x14ac:dyDescent="0.2">
      <c r="A14" s="15" t="s">
        <v>25</v>
      </c>
      <c r="B14" s="16">
        <f t="shared" si="0"/>
        <v>4424655</v>
      </c>
      <c r="C14" s="16">
        <v>216350</v>
      </c>
      <c r="D14" s="16">
        <v>135000</v>
      </c>
      <c r="E14" s="16">
        <v>378584</v>
      </c>
      <c r="F14" s="16">
        <f>2308739+213138</f>
        <v>2521877</v>
      </c>
      <c r="G14" s="16">
        <v>432280</v>
      </c>
      <c r="H14" s="16">
        <v>0</v>
      </c>
      <c r="I14" s="16">
        <v>0</v>
      </c>
      <c r="J14" s="16">
        <v>407055</v>
      </c>
      <c r="K14" s="16">
        <v>77560</v>
      </c>
      <c r="L14" s="16">
        <v>62049</v>
      </c>
      <c r="M14" s="16">
        <v>193900</v>
      </c>
    </row>
    <row r="15" spans="1:13" s="12" customFormat="1" ht="12" customHeight="1" x14ac:dyDescent="0.2">
      <c r="A15" s="15" t="s">
        <v>26</v>
      </c>
      <c r="B15" s="16">
        <f>SUM(C15:M15)</f>
        <v>146035</v>
      </c>
      <c r="C15" s="16">
        <v>0</v>
      </c>
      <c r="D15" s="16">
        <v>1000</v>
      </c>
      <c r="E15" s="16">
        <v>56000</v>
      </c>
      <c r="F15" s="16">
        <f>46000+7035</f>
        <v>53035</v>
      </c>
      <c r="G15" s="16">
        <v>30000</v>
      </c>
      <c r="H15" s="16">
        <v>0</v>
      </c>
      <c r="I15" s="16">
        <v>0</v>
      </c>
      <c r="J15" s="16">
        <v>0</v>
      </c>
      <c r="K15" s="16">
        <v>3000</v>
      </c>
      <c r="L15" s="16">
        <v>3000</v>
      </c>
      <c r="M15" s="16">
        <v>0</v>
      </c>
    </row>
    <row r="16" spans="1:13" x14ac:dyDescent="0.2">
      <c r="A16" s="120" t="s">
        <v>18</v>
      </c>
      <c r="B16" s="121">
        <f t="shared" ref="B16:M16" si="1">SUM(B11:B15)</f>
        <v>60678722</v>
      </c>
      <c r="C16" s="121">
        <f t="shared" si="1"/>
        <v>1609446</v>
      </c>
      <c r="D16" s="121">
        <f t="shared" si="1"/>
        <v>1728500</v>
      </c>
      <c r="E16" s="121">
        <f t="shared" si="1"/>
        <v>13609092</v>
      </c>
      <c r="F16" s="121">
        <f t="shared" si="1"/>
        <v>31781492</v>
      </c>
      <c r="G16" s="121">
        <f t="shared" si="1"/>
        <v>4204821</v>
      </c>
      <c r="H16" s="121">
        <f t="shared" si="1"/>
        <v>0</v>
      </c>
      <c r="I16" s="121">
        <f t="shared" si="1"/>
        <v>0</v>
      </c>
      <c r="J16" s="121">
        <f t="shared" si="1"/>
        <v>2944055</v>
      </c>
      <c r="K16" s="121">
        <f t="shared" si="1"/>
        <v>1070922</v>
      </c>
      <c r="L16" s="121">
        <f t="shared" si="1"/>
        <v>826894</v>
      </c>
      <c r="M16" s="121">
        <f t="shared" si="1"/>
        <v>2903500</v>
      </c>
    </row>
    <row r="17" spans="1:1" ht="12" customHeight="1" x14ac:dyDescent="0.2"/>
    <row r="18" spans="1:1" ht="12" customHeight="1" x14ac:dyDescent="0.2">
      <c r="A18" s="14" t="s">
        <v>19</v>
      </c>
    </row>
    <row r="19" spans="1:1" x14ac:dyDescent="0.2">
      <c r="A19" s="14" t="s">
        <v>20</v>
      </c>
    </row>
  </sheetData>
  <printOptions horizontalCentered="1"/>
  <pageMargins left="0" right="0" top="0.5" bottom="0.5" header="0.5" footer="0.25"/>
  <pageSetup scale="8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8B0BD-420B-4B96-B6CF-4CA7B50B7B9A}">
  <dimension ref="A1:R39"/>
  <sheetViews>
    <sheetView topLeftCell="A24" workbookViewId="0">
      <selection activeCell="D50" sqref="D50"/>
    </sheetView>
  </sheetViews>
  <sheetFormatPr defaultColWidth="10.85546875" defaultRowHeight="11.25" x14ac:dyDescent="0.2"/>
  <cols>
    <col min="1" max="5" width="10.85546875" style="4"/>
    <col min="6" max="18" width="12.7109375" style="4" customWidth="1"/>
    <col min="19" max="16384" width="10.85546875" style="4"/>
  </cols>
  <sheetData>
    <row r="1" spans="1:18" x14ac:dyDescent="0.2">
      <c r="A1" s="4" t="s">
        <v>97</v>
      </c>
    </row>
    <row r="3" spans="1:18" s="12" customFormat="1" ht="10.5" x14ac:dyDescent="0.15">
      <c r="A3" s="78" t="s">
        <v>0</v>
      </c>
      <c r="D3" s="79"/>
      <c r="E3" s="79"/>
      <c r="F3" s="79"/>
      <c r="G3" s="79"/>
      <c r="H3" s="79"/>
      <c r="I3" s="79"/>
      <c r="J3" s="79"/>
      <c r="K3" s="79"/>
    </row>
    <row r="4" spans="1:18" s="12" customFormat="1" ht="16.5" customHeight="1" x14ac:dyDescent="0.15">
      <c r="A4" s="80" t="s">
        <v>32</v>
      </c>
      <c r="D4" s="79"/>
      <c r="E4" s="79"/>
      <c r="F4" s="79"/>
      <c r="G4" s="79"/>
      <c r="H4" s="79"/>
      <c r="I4" s="79"/>
      <c r="J4" s="79"/>
      <c r="M4" s="79"/>
    </row>
    <row r="5" spans="1:18" s="12" customFormat="1" ht="10.5" x14ac:dyDescent="0.15">
      <c r="A5" s="12" t="s">
        <v>34</v>
      </c>
      <c r="B5" s="81"/>
      <c r="C5" s="82"/>
      <c r="D5" s="79"/>
      <c r="E5" s="79"/>
      <c r="F5" s="79"/>
      <c r="G5" s="79"/>
      <c r="H5" s="79"/>
      <c r="I5" s="79"/>
      <c r="J5" s="79"/>
      <c r="K5" s="79"/>
      <c r="M5" s="79"/>
      <c r="R5" s="83"/>
    </row>
    <row r="6" spans="1:18" s="12" customFormat="1" ht="10.5" x14ac:dyDescent="0.15">
      <c r="B6" s="81"/>
      <c r="C6" s="82"/>
      <c r="D6" s="79"/>
      <c r="E6" s="79"/>
      <c r="F6" s="79"/>
      <c r="G6" s="79"/>
      <c r="H6" s="79"/>
      <c r="I6" s="79"/>
      <c r="J6" s="79"/>
      <c r="K6" s="79"/>
      <c r="M6" s="79"/>
      <c r="N6" s="83"/>
    </row>
    <row r="7" spans="1:18" s="12" customFormat="1" ht="12" customHeight="1" x14ac:dyDescent="0.15">
      <c r="A7" s="80" t="s">
        <v>1</v>
      </c>
      <c r="C7" s="79"/>
      <c r="D7" s="79"/>
      <c r="E7" s="79"/>
      <c r="F7" s="79"/>
      <c r="G7" s="79"/>
      <c r="H7" s="79"/>
      <c r="I7" s="79"/>
      <c r="L7" s="79"/>
    </row>
    <row r="8" spans="1:18" x14ac:dyDescent="0.2">
      <c r="A8" s="15" t="s">
        <v>24</v>
      </c>
      <c r="B8" s="111" t="s">
        <v>31</v>
      </c>
      <c r="C8" s="13"/>
      <c r="D8" s="13"/>
      <c r="E8" s="13"/>
      <c r="F8" s="13"/>
      <c r="G8" s="13"/>
      <c r="H8" s="13"/>
      <c r="I8" s="13"/>
      <c r="J8" s="13"/>
      <c r="L8" s="13"/>
      <c r="M8" s="85"/>
    </row>
    <row r="9" spans="1:18" x14ac:dyDescent="0.2">
      <c r="B9" s="87"/>
      <c r="C9" s="13"/>
      <c r="D9" s="13"/>
      <c r="E9" s="13"/>
      <c r="F9" s="13"/>
      <c r="G9" s="13"/>
      <c r="H9" s="13"/>
      <c r="I9" s="13"/>
      <c r="J9" s="13"/>
      <c r="L9" s="13"/>
      <c r="R9" s="85" t="s">
        <v>2</v>
      </c>
    </row>
    <row r="10" spans="1:18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8" ht="12.75" customHeight="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8" ht="12.75" customHeight="1" x14ac:dyDescent="0.2">
      <c r="A12" s="5" t="s">
        <v>4</v>
      </c>
      <c r="B12" s="6" t="s">
        <v>5</v>
      </c>
      <c r="C12" s="6" t="s">
        <v>6</v>
      </c>
      <c r="D12" s="6"/>
      <c r="E12" s="6"/>
      <c r="F12" s="6"/>
      <c r="G12" s="6" t="s">
        <v>7</v>
      </c>
      <c r="H12" s="6"/>
      <c r="I12" s="6"/>
      <c r="J12" s="6"/>
      <c r="K12" s="6"/>
      <c r="L12" s="6"/>
      <c r="M12" s="6"/>
    </row>
    <row r="13" spans="1:18" ht="12.75" customHeight="1" x14ac:dyDescent="0.25">
      <c r="A13" s="7"/>
      <c r="B13" s="8"/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8" t="s">
        <v>13</v>
      </c>
      <c r="I13" s="8" t="s">
        <v>14</v>
      </c>
      <c r="J13" s="8" t="s">
        <v>15</v>
      </c>
      <c r="K13" s="8" t="s">
        <v>21</v>
      </c>
      <c r="L13" s="8" t="s">
        <v>16</v>
      </c>
      <c r="M13" s="8" t="s">
        <v>17</v>
      </c>
    </row>
    <row r="14" spans="1:18" ht="6" customHeight="1" x14ac:dyDescent="0.2">
      <c r="A14" s="9"/>
      <c r="B14" s="10"/>
      <c r="C14" s="10"/>
      <c r="D14" s="10"/>
      <c r="E14" s="10"/>
      <c r="F14" s="10"/>
      <c r="G14" s="11"/>
      <c r="H14" s="10"/>
      <c r="I14" s="10"/>
      <c r="J14" s="10"/>
      <c r="K14" s="10"/>
      <c r="L14" s="10"/>
      <c r="M14" s="11"/>
    </row>
    <row r="15" spans="1:18" ht="12" customHeight="1" x14ac:dyDescent="0.2">
      <c r="A15" s="112" t="s">
        <v>31</v>
      </c>
      <c r="B15" s="118">
        <f t="shared" ref="B15" si="0">SUM(C15:M15)</f>
        <v>20408494</v>
      </c>
      <c r="C15" s="16">
        <v>430000</v>
      </c>
      <c r="D15" s="16">
        <v>924000</v>
      </c>
      <c r="E15" s="16">
        <v>5791394</v>
      </c>
      <c r="F15" s="16">
        <f>8031607+983089</f>
        <v>9014696</v>
      </c>
      <c r="G15" s="16">
        <v>1475000</v>
      </c>
      <c r="H15" s="16">
        <v>0</v>
      </c>
      <c r="I15" s="16">
        <v>0</v>
      </c>
      <c r="J15" s="16">
        <v>1200000</v>
      </c>
      <c r="K15" s="16">
        <v>380890</v>
      </c>
      <c r="L15" s="118">
        <v>299914</v>
      </c>
      <c r="M15" s="16">
        <v>892600</v>
      </c>
    </row>
    <row r="17" spans="1:18" x14ac:dyDescent="0.2">
      <c r="A17" s="4" t="s">
        <v>27</v>
      </c>
      <c r="B17" s="87">
        <v>45778</v>
      </c>
    </row>
    <row r="18" spans="1:18" x14ac:dyDescent="0.2">
      <c r="A18" s="4" t="s">
        <v>28</v>
      </c>
      <c r="B18" s="87">
        <v>45962</v>
      </c>
    </row>
    <row r="20" spans="1:18" x14ac:dyDescent="0.2">
      <c r="A20" s="88" t="s">
        <v>67</v>
      </c>
      <c r="B20" s="89"/>
      <c r="C20" s="90"/>
      <c r="D20" s="90"/>
      <c r="E20" s="90"/>
      <c r="F20" s="90"/>
    </row>
    <row r="21" spans="1:18" x14ac:dyDescent="0.2">
      <c r="A21" s="88" t="s">
        <v>68</v>
      </c>
      <c r="B21" s="89"/>
      <c r="C21" s="90"/>
      <c r="D21" s="90"/>
      <c r="E21" s="90"/>
      <c r="F21" s="90"/>
    </row>
    <row r="22" spans="1:18" x14ac:dyDescent="0.2">
      <c r="A22" s="88" t="s">
        <v>69</v>
      </c>
    </row>
    <row r="23" spans="1:18" ht="7.5" customHeight="1" x14ac:dyDescent="0.2"/>
    <row r="24" spans="1:18" ht="57.75" customHeight="1" x14ac:dyDescent="0.2">
      <c r="A24" s="91" t="s">
        <v>70</v>
      </c>
      <c r="B24" s="91" t="s">
        <v>71</v>
      </c>
      <c r="C24" s="91" t="s">
        <v>72</v>
      </c>
      <c r="D24" s="91" t="s">
        <v>73</v>
      </c>
      <c r="E24" s="91" t="s">
        <v>74</v>
      </c>
      <c r="F24" s="91" t="s">
        <v>75</v>
      </c>
      <c r="G24" s="91" t="s">
        <v>76</v>
      </c>
      <c r="H24" s="91" t="s">
        <v>77</v>
      </c>
      <c r="I24" s="91" t="s">
        <v>78</v>
      </c>
      <c r="J24" s="91" t="s">
        <v>79</v>
      </c>
      <c r="K24" s="91" t="s">
        <v>80</v>
      </c>
      <c r="L24" s="92" t="s">
        <v>81</v>
      </c>
      <c r="M24" s="91" t="s">
        <v>82</v>
      </c>
      <c r="N24" s="91" t="s">
        <v>83</v>
      </c>
      <c r="O24" s="91" t="s">
        <v>84</v>
      </c>
      <c r="P24" s="91" t="s">
        <v>85</v>
      </c>
      <c r="Q24" s="91" t="s">
        <v>86</v>
      </c>
      <c r="R24" s="91" t="s">
        <v>87</v>
      </c>
    </row>
    <row r="25" spans="1:18" x14ac:dyDescent="0.2">
      <c r="A25" s="93">
        <v>45778</v>
      </c>
      <c r="B25" s="94">
        <v>250000</v>
      </c>
      <c r="C25" s="94">
        <v>-20000</v>
      </c>
      <c r="D25" s="95">
        <v>0</v>
      </c>
      <c r="E25" s="95"/>
      <c r="F25" s="95">
        <f t="shared" ref="F25:F31" si="1">SUM(B25:E25)</f>
        <v>230000</v>
      </c>
      <c r="G25" s="96">
        <v>0</v>
      </c>
      <c r="H25" s="96"/>
      <c r="I25" s="95">
        <f t="shared" ref="I25:I31" si="2">+F25/2</f>
        <v>115000</v>
      </c>
      <c r="J25" s="96">
        <v>0</v>
      </c>
      <c r="K25" s="96">
        <v>0</v>
      </c>
      <c r="L25" s="97">
        <f t="shared" ref="L25:L31" si="3">SUM(G25:K25)</f>
        <v>115000</v>
      </c>
      <c r="M25" s="98">
        <v>1.2128749589367172E-3</v>
      </c>
      <c r="N25" s="99">
        <v>6.560190969950995E-3</v>
      </c>
      <c r="O25" s="115">
        <f>ROUND(+M25*L25,2)</f>
        <v>139.47999999999999</v>
      </c>
      <c r="P25" s="116">
        <f>ROUND(+N25*L25,2)</f>
        <v>754.42</v>
      </c>
      <c r="Q25" s="100">
        <f>+O25+P25</f>
        <v>893.9</v>
      </c>
      <c r="R25" s="100">
        <f t="shared" ref="R25:R27" si="4">+F25+G25+K25</f>
        <v>230000</v>
      </c>
    </row>
    <row r="26" spans="1:18" x14ac:dyDescent="0.2">
      <c r="A26" s="93">
        <v>45809</v>
      </c>
      <c r="B26" s="94">
        <v>750000</v>
      </c>
      <c r="C26" s="94">
        <v>-210000</v>
      </c>
      <c r="D26" s="95">
        <v>0</v>
      </c>
      <c r="E26" s="95"/>
      <c r="F26" s="95">
        <f t="shared" si="1"/>
        <v>540000</v>
      </c>
      <c r="G26" s="96">
        <f>+R25</f>
        <v>230000</v>
      </c>
      <c r="H26" s="96"/>
      <c r="I26" s="95">
        <f t="shared" si="2"/>
        <v>270000</v>
      </c>
      <c r="J26" s="96">
        <v>0</v>
      </c>
      <c r="K26" s="96">
        <f>+Q25</f>
        <v>893.9</v>
      </c>
      <c r="L26" s="97">
        <f t="shared" si="3"/>
        <v>500893.9</v>
      </c>
      <c r="M26" s="98">
        <v>1.2128749589367172E-3</v>
      </c>
      <c r="N26" s="99">
        <v>6.560190969950995E-3</v>
      </c>
      <c r="O26" s="115">
        <f t="shared" ref="O26:O31" si="5">ROUND(+M26*L26,2)</f>
        <v>607.52</v>
      </c>
      <c r="P26" s="116">
        <f t="shared" ref="P26:P31" si="6">ROUND(+N26*L26,2)</f>
        <v>3285.96</v>
      </c>
      <c r="Q26" s="100">
        <f t="shared" ref="Q26:Q31" si="7">+O26+P26</f>
        <v>3893.48</v>
      </c>
      <c r="R26" s="100">
        <f t="shared" si="4"/>
        <v>770893.9</v>
      </c>
    </row>
    <row r="27" spans="1:18" x14ac:dyDescent="0.2">
      <c r="A27" s="93">
        <v>45839</v>
      </c>
      <c r="B27" s="94">
        <v>2695000</v>
      </c>
      <c r="C27" s="94">
        <v>-200000</v>
      </c>
      <c r="D27" s="95">
        <v>0</v>
      </c>
      <c r="E27" s="95"/>
      <c r="F27" s="95">
        <f t="shared" si="1"/>
        <v>2495000</v>
      </c>
      <c r="G27" s="96">
        <f>+R26</f>
        <v>770893.9</v>
      </c>
      <c r="H27" s="96"/>
      <c r="I27" s="95">
        <f t="shared" si="2"/>
        <v>1247500</v>
      </c>
      <c r="J27" s="96">
        <v>0</v>
      </c>
      <c r="K27" s="96">
        <f t="shared" ref="K27:K30" si="8">+Q26</f>
        <v>3893.48</v>
      </c>
      <c r="L27" s="97">
        <f t="shared" si="3"/>
        <v>2022287.38</v>
      </c>
      <c r="M27" s="98">
        <v>1.2128749589367172E-3</v>
      </c>
      <c r="N27" s="99">
        <v>6.560190969950995E-3</v>
      </c>
      <c r="O27" s="115">
        <f t="shared" si="5"/>
        <v>2452.7800000000002</v>
      </c>
      <c r="P27" s="116">
        <f t="shared" si="6"/>
        <v>13266.59</v>
      </c>
      <c r="Q27" s="100">
        <f t="shared" si="7"/>
        <v>15719.37</v>
      </c>
      <c r="R27" s="100">
        <f t="shared" si="4"/>
        <v>3269787.38</v>
      </c>
    </row>
    <row r="28" spans="1:18" x14ac:dyDescent="0.2">
      <c r="A28" s="93">
        <v>45870</v>
      </c>
      <c r="B28" s="94">
        <v>2898596</v>
      </c>
      <c r="C28" s="94">
        <v>0</v>
      </c>
      <c r="D28" s="95">
        <v>0</v>
      </c>
      <c r="E28" s="95"/>
      <c r="F28" s="95">
        <f t="shared" si="1"/>
        <v>2898596</v>
      </c>
      <c r="G28" s="96">
        <f t="shared" ref="G28:G31" si="9">+R27</f>
        <v>3269787.38</v>
      </c>
      <c r="H28" s="96">
        <v>0</v>
      </c>
      <c r="I28" s="95">
        <f t="shared" si="2"/>
        <v>1449298</v>
      </c>
      <c r="J28" s="96">
        <v>0</v>
      </c>
      <c r="K28" s="96">
        <f t="shared" si="8"/>
        <v>15719.37</v>
      </c>
      <c r="L28" s="97">
        <f t="shared" si="3"/>
        <v>4734804.75</v>
      </c>
      <c r="M28" s="98">
        <v>1.2128749589367172E-3</v>
      </c>
      <c r="N28" s="99">
        <v>6.560190969950995E-3</v>
      </c>
      <c r="O28" s="115">
        <f t="shared" si="5"/>
        <v>5742.73</v>
      </c>
      <c r="P28" s="116">
        <f t="shared" si="6"/>
        <v>31061.22</v>
      </c>
      <c r="Q28" s="100">
        <f t="shared" si="7"/>
        <v>36803.949999999997</v>
      </c>
      <c r="R28" s="100">
        <f>+F28+G28+K28</f>
        <v>6184102.75</v>
      </c>
    </row>
    <row r="29" spans="1:18" x14ac:dyDescent="0.2">
      <c r="A29" s="93">
        <v>45901</v>
      </c>
      <c r="B29" s="94">
        <v>5020700</v>
      </c>
      <c r="C29" s="94">
        <v>0</v>
      </c>
      <c r="D29" s="95">
        <v>0</v>
      </c>
      <c r="E29" s="95"/>
      <c r="F29" s="95">
        <f t="shared" si="1"/>
        <v>5020700</v>
      </c>
      <c r="G29" s="96">
        <f t="shared" si="9"/>
        <v>6184102.75</v>
      </c>
      <c r="H29" s="96">
        <v>0</v>
      </c>
      <c r="I29" s="95">
        <f t="shared" si="2"/>
        <v>2510350</v>
      </c>
      <c r="J29" s="96">
        <v>0</v>
      </c>
      <c r="K29" s="96">
        <f t="shared" si="8"/>
        <v>36803.949999999997</v>
      </c>
      <c r="L29" s="97">
        <f t="shared" si="3"/>
        <v>8731256.6999999993</v>
      </c>
      <c r="M29" s="98">
        <v>1.2128749589367172E-3</v>
      </c>
      <c r="N29" s="99">
        <v>6.560190969950995E-3</v>
      </c>
      <c r="O29" s="115">
        <f t="shared" si="5"/>
        <v>10589.92</v>
      </c>
      <c r="P29" s="116">
        <f t="shared" si="6"/>
        <v>57278.71</v>
      </c>
      <c r="Q29" s="100">
        <f t="shared" si="7"/>
        <v>67868.63</v>
      </c>
      <c r="R29" s="100">
        <f>+F29+G29+K29</f>
        <v>11241606.699999999</v>
      </c>
    </row>
    <row r="30" spans="1:18" x14ac:dyDescent="0.2">
      <c r="A30" s="93">
        <v>45931</v>
      </c>
      <c r="B30" s="94">
        <v>4452150</v>
      </c>
      <c r="C30" s="94">
        <v>0</v>
      </c>
      <c r="D30" s="95">
        <v>0</v>
      </c>
      <c r="E30" s="95"/>
      <c r="F30" s="95">
        <f t="shared" si="1"/>
        <v>4452150</v>
      </c>
      <c r="G30" s="96">
        <f t="shared" si="9"/>
        <v>11241606.699999999</v>
      </c>
      <c r="H30" s="96">
        <v>0</v>
      </c>
      <c r="I30" s="95">
        <f t="shared" si="2"/>
        <v>2226075</v>
      </c>
      <c r="J30" s="96">
        <v>0</v>
      </c>
      <c r="K30" s="96">
        <f t="shared" si="8"/>
        <v>67868.63</v>
      </c>
      <c r="L30" s="97">
        <f t="shared" si="3"/>
        <v>13535550.33</v>
      </c>
      <c r="M30" s="98">
        <v>1.2128749589367172E-3</v>
      </c>
      <c r="N30" s="99">
        <v>6.560190969950995E-3</v>
      </c>
      <c r="O30" s="115">
        <f t="shared" si="5"/>
        <v>16416.93</v>
      </c>
      <c r="P30" s="116">
        <f t="shared" si="6"/>
        <v>88795.8</v>
      </c>
      <c r="Q30" s="100">
        <f t="shared" si="7"/>
        <v>105212.73000000001</v>
      </c>
      <c r="R30" s="100">
        <f t="shared" ref="R30:R31" si="10">+F30+G30+K30</f>
        <v>15761625.33</v>
      </c>
    </row>
    <row r="31" spans="1:18" x14ac:dyDescent="0.2">
      <c r="A31" s="93">
        <v>45962</v>
      </c>
      <c r="B31" s="100">
        <v>4042134</v>
      </c>
      <c r="C31" s="94">
        <v>0</v>
      </c>
      <c r="D31" s="95">
        <v>0</v>
      </c>
      <c r="E31" s="95"/>
      <c r="F31" s="95">
        <f t="shared" si="1"/>
        <v>4042134</v>
      </c>
      <c r="G31" s="96">
        <f t="shared" si="9"/>
        <v>15761625.33</v>
      </c>
      <c r="H31" s="96">
        <f>-G31/2</f>
        <v>-7880812.665</v>
      </c>
      <c r="I31" s="95">
        <f t="shared" si="2"/>
        <v>2021067</v>
      </c>
      <c r="J31" s="96">
        <f>-I31/2</f>
        <v>-1010533.5</v>
      </c>
      <c r="K31" s="96">
        <f>+Q30/2</f>
        <v>52606.365000000005</v>
      </c>
      <c r="L31" s="97">
        <f t="shared" si="3"/>
        <v>8943952.5299999993</v>
      </c>
      <c r="M31" s="98">
        <v>1.2128749589367172E-3</v>
      </c>
      <c r="N31" s="99">
        <v>6.560190969950995E-3</v>
      </c>
      <c r="O31" s="115">
        <f t="shared" si="5"/>
        <v>10847.9</v>
      </c>
      <c r="P31" s="116">
        <f t="shared" si="6"/>
        <v>58674.04</v>
      </c>
      <c r="Q31" s="100">
        <f t="shared" si="7"/>
        <v>69521.94</v>
      </c>
      <c r="R31" s="100">
        <f t="shared" si="10"/>
        <v>19856365.694999997</v>
      </c>
    </row>
    <row r="32" spans="1:18" x14ac:dyDescent="0.2">
      <c r="A32" s="93"/>
      <c r="B32" s="113">
        <f>SUM(B25:B31)</f>
        <v>20108580</v>
      </c>
      <c r="C32" s="167">
        <f>SUM(C25:C31)</f>
        <v>-430000</v>
      </c>
      <c r="F32" s="100"/>
      <c r="O32" s="101"/>
      <c r="P32" s="101"/>
      <c r="Q32" s="113">
        <f>SUM(Q25:Q31)</f>
        <v>299914</v>
      </c>
    </row>
    <row r="33" spans="1:18" x14ac:dyDescent="0.2">
      <c r="A33" s="93"/>
      <c r="B33" s="100"/>
      <c r="R33" s="100"/>
    </row>
    <row r="34" spans="1:18" x14ac:dyDescent="0.2">
      <c r="A34" s="93"/>
      <c r="B34" s="100"/>
      <c r="R34" s="100"/>
    </row>
    <row r="35" spans="1:18" x14ac:dyDescent="0.2">
      <c r="A35" s="93"/>
      <c r="B35" s="100"/>
      <c r="R35" s="100"/>
    </row>
    <row r="37" spans="1:18" x14ac:dyDescent="0.2">
      <c r="A37" s="102" t="s">
        <v>88</v>
      </c>
      <c r="B37" s="114">
        <f>+B32</f>
        <v>20108580</v>
      </c>
      <c r="C37" s="103"/>
      <c r="D37" s="100"/>
    </row>
    <row r="38" spans="1:18" x14ac:dyDescent="0.2">
      <c r="A38" s="102" t="s">
        <v>86</v>
      </c>
      <c r="B38" s="114">
        <f>+Q32</f>
        <v>299914</v>
      </c>
      <c r="C38" s="103"/>
      <c r="D38" s="101"/>
    </row>
    <row r="39" spans="1:18" ht="12" thickBot="1" x14ac:dyDescent="0.25">
      <c r="A39" s="102" t="s">
        <v>5</v>
      </c>
      <c r="B39" s="104">
        <f>SUM(B37:B38)</f>
        <v>20408494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05625-E6C6-49A6-8B41-D7D9A24D6566}">
  <dimension ref="A1:R40"/>
  <sheetViews>
    <sheetView topLeftCell="A18" workbookViewId="0">
      <selection activeCell="C36" sqref="C36:E44"/>
    </sheetView>
  </sheetViews>
  <sheetFormatPr defaultColWidth="9.140625" defaultRowHeight="11.25" x14ac:dyDescent="0.2"/>
  <cols>
    <col min="1" max="1" width="36.7109375" style="4" customWidth="1"/>
    <col min="2" max="2" width="18.5703125" style="4" customWidth="1"/>
    <col min="3" max="3" width="14.140625" style="4" customWidth="1"/>
    <col min="4" max="4" width="10.85546875" style="4" customWidth="1"/>
    <col min="5" max="5" width="9.7109375" style="4" customWidth="1"/>
    <col min="6" max="6" width="12.140625" style="4" customWidth="1"/>
    <col min="7" max="7" width="11.7109375" style="4" customWidth="1"/>
    <col min="8" max="8" width="12" style="4" customWidth="1"/>
    <col min="9" max="9" width="11.85546875" style="4" customWidth="1"/>
    <col min="10" max="10" width="12.7109375" style="4" customWidth="1"/>
    <col min="11" max="11" width="9.5703125" style="4" customWidth="1"/>
    <col min="12" max="12" width="13.85546875" style="4" customWidth="1"/>
    <col min="13" max="13" width="11.5703125" style="4" customWidth="1"/>
    <col min="14" max="14" width="9.140625" style="4"/>
    <col min="15" max="15" width="8.28515625" style="4" customWidth="1"/>
    <col min="16" max="16" width="9" style="4" customWidth="1"/>
    <col min="17" max="17" width="9.140625" style="4"/>
    <col min="18" max="18" width="10.7109375" style="4" customWidth="1"/>
    <col min="19" max="16384" width="9.140625" style="4"/>
  </cols>
  <sheetData>
    <row r="1" spans="1:18" x14ac:dyDescent="0.2">
      <c r="A1" s="4" t="s">
        <v>98</v>
      </c>
    </row>
    <row r="3" spans="1:18" s="12" customFormat="1" ht="10.5" x14ac:dyDescent="0.15">
      <c r="A3" s="78" t="s">
        <v>0</v>
      </c>
      <c r="D3" s="79"/>
      <c r="E3" s="79"/>
      <c r="F3" s="79"/>
      <c r="G3" s="79"/>
      <c r="H3" s="79"/>
      <c r="I3" s="79"/>
      <c r="J3" s="79"/>
      <c r="K3" s="79"/>
    </row>
    <row r="4" spans="1:18" s="12" customFormat="1" ht="16.5" customHeight="1" x14ac:dyDescent="0.15">
      <c r="A4" s="80" t="s">
        <v>32</v>
      </c>
      <c r="D4" s="79"/>
      <c r="E4" s="79"/>
      <c r="F4" s="79"/>
      <c r="G4" s="79"/>
      <c r="H4" s="79"/>
      <c r="I4" s="79"/>
      <c r="J4" s="79"/>
      <c r="M4" s="79"/>
    </row>
    <row r="5" spans="1:18" s="12" customFormat="1" ht="10.5" x14ac:dyDescent="0.15">
      <c r="A5" s="12" t="s">
        <v>34</v>
      </c>
      <c r="B5" s="81"/>
      <c r="C5" s="82"/>
      <c r="D5" s="79"/>
      <c r="E5" s="79"/>
      <c r="F5" s="79"/>
      <c r="G5" s="79"/>
      <c r="H5" s="79"/>
      <c r="I5" s="79"/>
      <c r="J5" s="79"/>
      <c r="K5" s="79"/>
      <c r="M5" s="79"/>
      <c r="R5" s="83"/>
    </row>
    <row r="6" spans="1:18" s="12" customFormat="1" ht="10.5" x14ac:dyDescent="0.15">
      <c r="B6" s="81"/>
      <c r="C6" s="82"/>
      <c r="D6" s="79"/>
      <c r="E6" s="79"/>
      <c r="F6" s="79"/>
      <c r="G6" s="79"/>
      <c r="H6" s="79"/>
      <c r="I6" s="79"/>
      <c r="J6" s="79"/>
      <c r="K6" s="79"/>
      <c r="M6" s="79"/>
      <c r="N6" s="83"/>
    </row>
    <row r="7" spans="1:18" s="12" customFormat="1" ht="12" customHeight="1" x14ac:dyDescent="0.15">
      <c r="A7" s="80" t="s">
        <v>1</v>
      </c>
      <c r="C7" s="79"/>
      <c r="D7" s="79"/>
      <c r="E7" s="79"/>
      <c r="F7" s="79"/>
      <c r="G7" s="79"/>
      <c r="H7" s="79"/>
      <c r="I7" s="79"/>
      <c r="L7" s="79"/>
    </row>
    <row r="8" spans="1:18" s="12" customFormat="1" ht="10.5" x14ac:dyDescent="0.15">
      <c r="A8" s="81" t="s">
        <v>22</v>
      </c>
      <c r="C8" s="79"/>
      <c r="D8" s="79"/>
      <c r="E8" s="79"/>
      <c r="F8" s="79"/>
      <c r="G8" s="79"/>
      <c r="H8" s="79"/>
      <c r="I8" s="79"/>
      <c r="J8" s="79"/>
      <c r="L8" s="79"/>
      <c r="M8" s="83" t="s">
        <v>0</v>
      </c>
    </row>
    <row r="9" spans="1:18" x14ac:dyDescent="0.2">
      <c r="D9" s="13"/>
      <c r="E9" s="13"/>
      <c r="F9" s="13"/>
      <c r="G9" s="13"/>
      <c r="H9" s="13"/>
      <c r="I9" s="13"/>
      <c r="J9" s="13"/>
      <c r="L9" s="13"/>
      <c r="M9" s="85" t="s">
        <v>2</v>
      </c>
    </row>
    <row r="10" spans="1:18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8" ht="12.75" customHeight="1" x14ac:dyDescent="0.2">
      <c r="A11" s="169" t="s">
        <v>33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8" ht="12.75" customHeight="1" x14ac:dyDescent="0.2">
      <c r="A12" s="170"/>
      <c r="B12" s="6" t="s">
        <v>5</v>
      </c>
      <c r="C12" s="6" t="s">
        <v>6</v>
      </c>
      <c r="D12" s="6"/>
      <c r="E12" s="6"/>
      <c r="F12" s="6"/>
      <c r="G12" s="6" t="s">
        <v>7</v>
      </c>
      <c r="H12" s="6"/>
      <c r="I12" s="6"/>
      <c r="J12" s="6"/>
      <c r="K12" s="6"/>
      <c r="L12" s="6"/>
      <c r="M12" s="6"/>
    </row>
    <row r="13" spans="1:18" ht="12.75" customHeight="1" x14ac:dyDescent="0.25">
      <c r="A13" s="111"/>
      <c r="B13" s="8"/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8" t="s">
        <v>13</v>
      </c>
      <c r="I13" s="8" t="s">
        <v>14</v>
      </c>
      <c r="J13" s="8" t="s">
        <v>15</v>
      </c>
      <c r="K13" s="8" t="s">
        <v>21</v>
      </c>
      <c r="L13" s="8" t="s">
        <v>16</v>
      </c>
      <c r="M13" s="8" t="s">
        <v>17</v>
      </c>
    </row>
    <row r="14" spans="1:18" s="12" customFormat="1" ht="18.75" customHeight="1" x14ac:dyDescent="0.2">
      <c r="A14" s="112" t="s">
        <v>30</v>
      </c>
      <c r="B14" s="118">
        <f t="shared" ref="B14" si="0">SUM(C14:M14)</f>
        <v>15732600</v>
      </c>
      <c r="C14" s="16">
        <v>288596</v>
      </c>
      <c r="D14" s="16">
        <v>290000</v>
      </c>
      <c r="E14" s="16">
        <v>3376431</v>
      </c>
      <c r="F14" s="16">
        <f>8295929+757849</f>
        <v>9053778</v>
      </c>
      <c r="G14" s="16">
        <v>1002541</v>
      </c>
      <c r="H14" s="16">
        <v>0</v>
      </c>
      <c r="I14" s="16">
        <v>0</v>
      </c>
      <c r="J14" s="16">
        <v>587000</v>
      </c>
      <c r="K14" s="16">
        <v>293623</v>
      </c>
      <c r="L14" s="118">
        <v>231199</v>
      </c>
      <c r="M14" s="16">
        <v>609432</v>
      </c>
    </row>
    <row r="16" spans="1:18" x14ac:dyDescent="0.2">
      <c r="A16" s="4" t="s">
        <v>27</v>
      </c>
      <c r="B16" s="87">
        <v>45778</v>
      </c>
      <c r="C16" s="13"/>
    </row>
    <row r="17" spans="1:18" x14ac:dyDescent="0.2">
      <c r="A17" s="4" t="s">
        <v>28</v>
      </c>
      <c r="B17" s="87">
        <v>45962</v>
      </c>
      <c r="C17" s="13"/>
    </row>
    <row r="19" spans="1:18" x14ac:dyDescent="0.2">
      <c r="A19" s="88" t="s">
        <v>67</v>
      </c>
      <c r="B19" s="89"/>
      <c r="C19" s="90"/>
      <c r="D19" s="90"/>
      <c r="E19" s="90"/>
      <c r="F19" s="90"/>
    </row>
    <row r="20" spans="1:18" x14ac:dyDescent="0.2">
      <c r="A20" s="88" t="s">
        <v>68</v>
      </c>
      <c r="B20" s="89"/>
      <c r="C20" s="90"/>
      <c r="D20" s="90"/>
      <c r="E20" s="90"/>
      <c r="F20" s="90"/>
    </row>
    <row r="21" spans="1:18" x14ac:dyDescent="0.2">
      <c r="A21" s="88" t="s">
        <v>69</v>
      </c>
    </row>
    <row r="22" spans="1:18" ht="7.5" customHeight="1" x14ac:dyDescent="0.2"/>
    <row r="23" spans="1:18" ht="57.75" customHeight="1" x14ac:dyDescent="0.2">
      <c r="A23" s="91" t="s">
        <v>70</v>
      </c>
      <c r="B23" s="91" t="s">
        <v>71</v>
      </c>
      <c r="C23" s="91" t="s">
        <v>72</v>
      </c>
      <c r="D23" s="91" t="s">
        <v>73</v>
      </c>
      <c r="E23" s="91" t="s">
        <v>74</v>
      </c>
      <c r="F23" s="91" t="s">
        <v>75</v>
      </c>
      <c r="G23" s="91" t="s">
        <v>76</v>
      </c>
      <c r="H23" s="91" t="s">
        <v>77</v>
      </c>
      <c r="I23" s="91" t="s">
        <v>78</v>
      </c>
      <c r="J23" s="91" t="s">
        <v>79</v>
      </c>
      <c r="K23" s="91" t="s">
        <v>80</v>
      </c>
      <c r="L23" s="92" t="s">
        <v>81</v>
      </c>
      <c r="M23" s="91" t="s">
        <v>82</v>
      </c>
      <c r="N23" s="91" t="s">
        <v>83</v>
      </c>
      <c r="O23" s="91" t="s">
        <v>84</v>
      </c>
      <c r="P23" s="91" t="s">
        <v>85</v>
      </c>
      <c r="Q23" s="91" t="s">
        <v>86</v>
      </c>
      <c r="R23" s="91" t="s">
        <v>87</v>
      </c>
    </row>
    <row r="24" spans="1:18" x14ac:dyDescent="0.2">
      <c r="A24" s="93">
        <v>45778</v>
      </c>
      <c r="B24" s="94">
        <v>250000</v>
      </c>
      <c r="C24" s="94">
        <v>-20000</v>
      </c>
      <c r="D24" s="95">
        <v>0</v>
      </c>
      <c r="E24" s="95"/>
      <c r="F24" s="95">
        <f t="shared" ref="F24:F30" si="1">SUM(B24:E24)</f>
        <v>230000</v>
      </c>
      <c r="G24" s="96">
        <v>0</v>
      </c>
      <c r="H24" s="96"/>
      <c r="I24" s="95">
        <f t="shared" ref="I24:I30" si="2">+F24/2</f>
        <v>115000</v>
      </c>
      <c r="J24" s="96">
        <v>0</v>
      </c>
      <c r="K24" s="96">
        <v>0</v>
      </c>
      <c r="L24" s="97">
        <f t="shared" ref="L24:L30" si="3">SUM(G24:K24)</f>
        <v>115000</v>
      </c>
      <c r="M24" s="98">
        <v>1.2128749589367172E-3</v>
      </c>
      <c r="N24" s="99">
        <v>6.560190969950995E-3</v>
      </c>
      <c r="O24" s="115">
        <f>ROUND(+M24*L24,2)</f>
        <v>139.47999999999999</v>
      </c>
      <c r="P24" s="116">
        <f>ROUND(+N24*L24,2)</f>
        <v>754.42</v>
      </c>
      <c r="Q24" s="100">
        <f>+O24+P24</f>
        <v>893.9</v>
      </c>
      <c r="R24" s="100">
        <f t="shared" ref="R24:R26" si="4">+F24+G24+K24</f>
        <v>230000</v>
      </c>
    </row>
    <row r="25" spans="1:18" x14ac:dyDescent="0.2">
      <c r="A25" s="93">
        <v>45809</v>
      </c>
      <c r="B25" s="94">
        <v>750000</v>
      </c>
      <c r="C25" s="94">
        <v>-30000</v>
      </c>
      <c r="D25" s="95">
        <v>0</v>
      </c>
      <c r="E25" s="95"/>
      <c r="F25" s="95">
        <f t="shared" si="1"/>
        <v>720000</v>
      </c>
      <c r="G25" s="96">
        <f>+R24</f>
        <v>230000</v>
      </c>
      <c r="H25" s="96"/>
      <c r="I25" s="95">
        <f t="shared" si="2"/>
        <v>360000</v>
      </c>
      <c r="J25" s="96">
        <v>0</v>
      </c>
      <c r="K25" s="96">
        <f>+Q24</f>
        <v>893.9</v>
      </c>
      <c r="L25" s="97">
        <f t="shared" si="3"/>
        <v>590893.9</v>
      </c>
      <c r="M25" s="98">
        <v>1.2128749589367172E-3</v>
      </c>
      <c r="N25" s="99">
        <v>6.560190969950995E-3</v>
      </c>
      <c r="O25" s="115">
        <f t="shared" ref="O25:O30" si="5">ROUND(+M25*L25,2)</f>
        <v>716.68</v>
      </c>
      <c r="P25" s="116">
        <f t="shared" ref="P25:P30" si="6">ROUND(+N25*L25,2)</f>
        <v>3876.38</v>
      </c>
      <c r="Q25" s="100">
        <f t="shared" ref="Q25:Q30" si="7">+O25+P25</f>
        <v>4593.0600000000004</v>
      </c>
      <c r="R25" s="100">
        <f t="shared" si="4"/>
        <v>950893.9</v>
      </c>
    </row>
    <row r="26" spans="1:18" x14ac:dyDescent="0.2">
      <c r="A26" s="93">
        <v>45839</v>
      </c>
      <c r="B26" s="94">
        <v>1800000</v>
      </c>
      <c r="C26" s="94">
        <v>-238596</v>
      </c>
      <c r="D26" s="95">
        <v>0</v>
      </c>
      <c r="E26" s="95"/>
      <c r="F26" s="95">
        <f t="shared" si="1"/>
        <v>1561404</v>
      </c>
      <c r="G26" s="96">
        <f>+R25</f>
        <v>950893.9</v>
      </c>
      <c r="H26" s="96"/>
      <c r="I26" s="95">
        <f t="shared" si="2"/>
        <v>780702</v>
      </c>
      <c r="J26" s="96">
        <v>0</v>
      </c>
      <c r="K26" s="96">
        <f t="shared" ref="K26:K29" si="8">+Q25</f>
        <v>4593.0600000000004</v>
      </c>
      <c r="L26" s="97">
        <f t="shared" si="3"/>
        <v>1736188.96</v>
      </c>
      <c r="M26" s="98">
        <v>1.2128749589367172E-3</v>
      </c>
      <c r="N26" s="99">
        <v>6.560190969950995E-3</v>
      </c>
      <c r="O26" s="115">
        <f t="shared" si="5"/>
        <v>2105.7800000000002</v>
      </c>
      <c r="P26" s="116">
        <f t="shared" si="6"/>
        <v>11389.73</v>
      </c>
      <c r="Q26" s="100">
        <f t="shared" si="7"/>
        <v>13495.51</v>
      </c>
      <c r="R26" s="100">
        <f t="shared" si="4"/>
        <v>2516890.96</v>
      </c>
    </row>
    <row r="27" spans="1:18" x14ac:dyDescent="0.2">
      <c r="A27" s="93">
        <v>45870</v>
      </c>
      <c r="B27" s="94">
        <v>2398596</v>
      </c>
      <c r="C27" s="94">
        <v>0</v>
      </c>
      <c r="D27" s="95">
        <v>0</v>
      </c>
      <c r="E27" s="95"/>
      <c r="F27" s="95">
        <f t="shared" si="1"/>
        <v>2398596</v>
      </c>
      <c r="G27" s="96">
        <f t="shared" ref="G27:G30" si="9">+R26</f>
        <v>2516890.96</v>
      </c>
      <c r="H27" s="96">
        <v>0</v>
      </c>
      <c r="I27" s="95">
        <f t="shared" si="2"/>
        <v>1199298</v>
      </c>
      <c r="J27" s="96">
        <v>0</v>
      </c>
      <c r="K27" s="96">
        <f t="shared" si="8"/>
        <v>13495.51</v>
      </c>
      <c r="L27" s="97">
        <f t="shared" si="3"/>
        <v>3729684.4699999997</v>
      </c>
      <c r="M27" s="98">
        <v>1.2128749589367172E-3</v>
      </c>
      <c r="N27" s="99">
        <v>6.560190969950995E-3</v>
      </c>
      <c r="O27" s="115">
        <f t="shared" si="5"/>
        <v>4523.6400000000003</v>
      </c>
      <c r="P27" s="116">
        <f t="shared" si="6"/>
        <v>24467.439999999999</v>
      </c>
      <c r="Q27" s="100">
        <f t="shared" si="7"/>
        <v>28991.079999999998</v>
      </c>
      <c r="R27" s="100">
        <f>+F27+G27+K27</f>
        <v>4928982.47</v>
      </c>
    </row>
    <row r="28" spans="1:18" x14ac:dyDescent="0.2">
      <c r="A28" s="93">
        <v>45901</v>
      </c>
      <c r="B28" s="94">
        <v>2845700</v>
      </c>
      <c r="C28" s="94">
        <v>0</v>
      </c>
      <c r="D28" s="95">
        <v>0</v>
      </c>
      <c r="E28" s="95"/>
      <c r="F28" s="95">
        <f t="shared" si="1"/>
        <v>2845700</v>
      </c>
      <c r="G28" s="96">
        <f t="shared" si="9"/>
        <v>4928982.47</v>
      </c>
      <c r="H28" s="96">
        <v>0</v>
      </c>
      <c r="I28" s="95">
        <f t="shared" si="2"/>
        <v>1422850</v>
      </c>
      <c r="J28" s="96">
        <v>0</v>
      </c>
      <c r="K28" s="96">
        <f t="shared" si="8"/>
        <v>28991.079999999998</v>
      </c>
      <c r="L28" s="97">
        <f t="shared" si="3"/>
        <v>6380823.5499999998</v>
      </c>
      <c r="M28" s="98">
        <v>1.2128749589367172E-3</v>
      </c>
      <c r="N28" s="99">
        <v>6.560190969950995E-3</v>
      </c>
      <c r="O28" s="115">
        <f t="shared" si="5"/>
        <v>7739.14</v>
      </c>
      <c r="P28" s="116">
        <f t="shared" si="6"/>
        <v>41859.42</v>
      </c>
      <c r="Q28" s="100">
        <f t="shared" si="7"/>
        <v>49598.559999999998</v>
      </c>
      <c r="R28" s="100">
        <f>+F28+G28+K28</f>
        <v>7803673.5499999998</v>
      </c>
    </row>
    <row r="29" spans="1:18" x14ac:dyDescent="0.2">
      <c r="A29" s="93">
        <v>45931</v>
      </c>
      <c r="B29" s="94">
        <v>4676295.3046412906</v>
      </c>
      <c r="C29" s="94">
        <v>0</v>
      </c>
      <c r="D29" s="95">
        <v>0</v>
      </c>
      <c r="E29" s="95"/>
      <c r="F29" s="95">
        <f t="shared" si="1"/>
        <v>4676295.3046412906</v>
      </c>
      <c r="G29" s="96">
        <f t="shared" si="9"/>
        <v>7803673.5499999998</v>
      </c>
      <c r="H29" s="96">
        <v>0</v>
      </c>
      <c r="I29" s="95">
        <f t="shared" si="2"/>
        <v>2338147.6523206453</v>
      </c>
      <c r="J29" s="96">
        <v>0</v>
      </c>
      <c r="K29" s="96">
        <f t="shared" si="8"/>
        <v>49598.559999999998</v>
      </c>
      <c r="L29" s="97">
        <f t="shared" si="3"/>
        <v>10191419.762320645</v>
      </c>
      <c r="M29" s="98">
        <v>1.2128749589367172E-3</v>
      </c>
      <c r="N29" s="99">
        <v>6.560190969950995E-3</v>
      </c>
      <c r="O29" s="115">
        <f t="shared" si="5"/>
        <v>12360.92</v>
      </c>
      <c r="P29" s="116">
        <f t="shared" si="6"/>
        <v>66857.66</v>
      </c>
      <c r="Q29" s="100">
        <f t="shared" si="7"/>
        <v>79218.58</v>
      </c>
      <c r="R29" s="100">
        <f t="shared" ref="R29:R30" si="10">+F29+G29+K29</f>
        <v>12529567.414641291</v>
      </c>
    </row>
    <row r="30" spans="1:18" x14ac:dyDescent="0.2">
      <c r="A30" s="93">
        <v>45962</v>
      </c>
      <c r="B30" s="100">
        <v>2780809.6953587099</v>
      </c>
      <c r="C30" s="94">
        <v>0</v>
      </c>
      <c r="D30" s="95">
        <v>0</v>
      </c>
      <c r="E30" s="95"/>
      <c r="F30" s="95">
        <f t="shared" si="1"/>
        <v>2780809.6953587099</v>
      </c>
      <c r="G30" s="96">
        <f t="shared" si="9"/>
        <v>12529567.414641291</v>
      </c>
      <c r="H30" s="96">
        <f>-G30/2</f>
        <v>-6264783.7073206455</v>
      </c>
      <c r="I30" s="95">
        <f t="shared" si="2"/>
        <v>1390404.8476793549</v>
      </c>
      <c r="J30" s="96">
        <f>-I30/2</f>
        <v>-695202.42383967747</v>
      </c>
      <c r="K30" s="96">
        <f>+Q29/2</f>
        <v>39609.29</v>
      </c>
      <c r="L30" s="97">
        <f t="shared" si="3"/>
        <v>6999595.4211603235</v>
      </c>
      <c r="M30" s="98">
        <v>1.2128749589367172E-3</v>
      </c>
      <c r="N30" s="99">
        <v>6.560190969950995E-3</v>
      </c>
      <c r="O30" s="115">
        <f t="shared" si="5"/>
        <v>8489.6299999999992</v>
      </c>
      <c r="P30" s="116">
        <f t="shared" si="6"/>
        <v>45918.68</v>
      </c>
      <c r="Q30" s="100">
        <f t="shared" si="7"/>
        <v>54408.31</v>
      </c>
      <c r="R30" s="100">
        <f t="shared" si="10"/>
        <v>15349986.4</v>
      </c>
    </row>
    <row r="31" spans="1:18" x14ac:dyDescent="0.2">
      <c r="A31" s="93"/>
      <c r="B31" s="113">
        <f>SUM(B24:B30)</f>
        <v>15501401.000000002</v>
      </c>
      <c r="C31" s="167">
        <f>SUM(C24:C30)</f>
        <v>-288596</v>
      </c>
      <c r="D31" s="167">
        <f>SUM(D24:D30)</f>
        <v>0</v>
      </c>
      <c r="F31" s="167">
        <f>SUM(F24:F30)</f>
        <v>15212805.000000002</v>
      </c>
      <c r="O31" s="101"/>
      <c r="P31" s="101"/>
      <c r="Q31" s="113">
        <f>SUM(Q24:Q30)</f>
        <v>231199</v>
      </c>
    </row>
    <row r="32" spans="1:18" x14ac:dyDescent="0.2">
      <c r="A32" s="93"/>
      <c r="B32" s="100"/>
      <c r="R32" s="100"/>
    </row>
    <row r="33" spans="1:18" x14ac:dyDescent="0.2">
      <c r="A33" s="93"/>
      <c r="B33" s="100"/>
      <c r="R33" s="100"/>
    </row>
    <row r="34" spans="1:18" x14ac:dyDescent="0.2">
      <c r="A34" s="93"/>
      <c r="B34" s="100"/>
      <c r="R34" s="100"/>
    </row>
    <row r="36" spans="1:18" x14ac:dyDescent="0.2">
      <c r="A36" s="102" t="s">
        <v>88</v>
      </c>
      <c r="B36" s="114">
        <f>SUM(B24:B30)</f>
        <v>15501401.000000002</v>
      </c>
      <c r="C36" s="103"/>
      <c r="D36" s="100"/>
    </row>
    <row r="37" spans="1:18" x14ac:dyDescent="0.2">
      <c r="A37" s="102" t="s">
        <v>86</v>
      </c>
      <c r="B37" s="114">
        <f>+Q31</f>
        <v>231199</v>
      </c>
      <c r="C37" s="103"/>
      <c r="D37" s="117"/>
    </row>
    <row r="38" spans="1:18" ht="12" thickBot="1" x14ac:dyDescent="0.25">
      <c r="A38" s="102" t="s">
        <v>5</v>
      </c>
      <c r="B38" s="104">
        <f>SUM(B36:B37)</f>
        <v>15732600.000000002</v>
      </c>
    </row>
    <row r="40" spans="1:18" x14ac:dyDescent="0.2">
      <c r="D40" s="101"/>
    </row>
  </sheetData>
  <mergeCells count="1">
    <mergeCell ref="A11:A1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F578-7EB4-471C-8EBA-A6B5390B7B30}">
  <sheetPr>
    <pageSetUpPr fitToPage="1"/>
  </sheetPr>
  <dimension ref="A1:R55"/>
  <sheetViews>
    <sheetView topLeftCell="A39" workbookViewId="0">
      <selection activeCell="B55" sqref="B55"/>
    </sheetView>
  </sheetViews>
  <sheetFormatPr defaultColWidth="9.140625" defaultRowHeight="12" x14ac:dyDescent="0.2"/>
  <cols>
    <col min="1" max="1" width="28.7109375" style="17" customWidth="1"/>
    <col min="2" max="2" width="14" style="17" customWidth="1"/>
    <col min="3" max="3" width="11.5703125" style="17" customWidth="1"/>
    <col min="4" max="4" width="12.85546875" style="17" customWidth="1"/>
    <col min="5" max="5" width="12.7109375" style="17" customWidth="1"/>
    <col min="6" max="6" width="12.85546875" style="17" customWidth="1"/>
    <col min="7" max="7" width="12.28515625" style="17" customWidth="1"/>
    <col min="8" max="8" width="12.7109375" style="17" customWidth="1"/>
    <col min="9" max="9" width="13.5703125" style="17" customWidth="1"/>
    <col min="10" max="10" width="13.28515625" style="17" customWidth="1"/>
    <col min="11" max="11" width="10" style="17" customWidth="1"/>
    <col min="12" max="12" width="12.5703125" style="17" customWidth="1"/>
    <col min="13" max="13" width="11.5703125" style="17" customWidth="1"/>
    <col min="14" max="14" width="9.28515625" style="17" bestFit="1" customWidth="1"/>
    <col min="15" max="15" width="10.5703125" style="17" customWidth="1"/>
    <col min="16" max="16" width="11" style="17" customWidth="1"/>
    <col min="17" max="17" width="9.28515625" style="17" bestFit="1" customWidth="1"/>
    <col min="18" max="18" width="11.140625" style="17" customWidth="1"/>
    <col min="19" max="16384" width="9.140625" style="17"/>
  </cols>
  <sheetData>
    <row r="1" spans="1:18" x14ac:dyDescent="0.2">
      <c r="A1" s="29" t="s">
        <v>99</v>
      </c>
    </row>
    <row r="3" spans="1:18" s="29" customFormat="1" x14ac:dyDescent="0.2">
      <c r="A3" s="28" t="s">
        <v>0</v>
      </c>
      <c r="D3" s="30"/>
      <c r="E3" s="30"/>
      <c r="F3" s="30"/>
      <c r="G3" s="30"/>
      <c r="H3" s="30"/>
      <c r="I3" s="30"/>
      <c r="J3" s="30"/>
      <c r="K3" s="30"/>
    </row>
    <row r="4" spans="1:18" s="29" customFormat="1" ht="16.5" customHeight="1" x14ac:dyDescent="0.2">
      <c r="A4" s="31" t="s">
        <v>32</v>
      </c>
      <c r="D4" s="30"/>
      <c r="E4" s="30"/>
      <c r="F4" s="30"/>
      <c r="G4" s="30"/>
      <c r="H4" s="30"/>
      <c r="I4" s="30"/>
      <c r="J4" s="30"/>
      <c r="M4" s="30"/>
    </row>
    <row r="5" spans="1:18" s="29" customFormat="1" x14ac:dyDescent="0.2">
      <c r="A5" s="29" t="s">
        <v>34</v>
      </c>
      <c r="B5" s="32"/>
      <c r="C5" s="33"/>
      <c r="D5" s="30"/>
      <c r="E5" s="30"/>
      <c r="F5" s="30"/>
      <c r="G5" s="30"/>
      <c r="H5" s="30"/>
      <c r="I5" s="30"/>
      <c r="J5" s="30"/>
      <c r="K5" s="30"/>
      <c r="M5" s="30"/>
      <c r="R5" s="34"/>
    </row>
    <row r="6" spans="1:18" s="29" customFormat="1" x14ac:dyDescent="0.2">
      <c r="B6" s="32"/>
      <c r="C6" s="33"/>
      <c r="D6" s="30"/>
      <c r="E6" s="30"/>
      <c r="F6" s="30"/>
      <c r="G6" s="30"/>
      <c r="H6" s="30"/>
      <c r="I6" s="30"/>
      <c r="J6" s="30"/>
      <c r="K6" s="30"/>
      <c r="M6" s="30"/>
      <c r="N6" s="34"/>
    </row>
    <row r="7" spans="1:18" ht="12" customHeight="1" x14ac:dyDescent="0.2">
      <c r="A7" s="31" t="s">
        <v>1</v>
      </c>
      <c r="C7" s="18"/>
      <c r="D7" s="18"/>
      <c r="E7" s="18"/>
      <c r="F7" s="18"/>
      <c r="G7" s="18"/>
      <c r="H7" s="18"/>
      <c r="I7" s="18"/>
      <c r="L7" s="18"/>
    </row>
    <row r="8" spans="1:18" ht="15.75" customHeight="1" x14ac:dyDescent="0.2">
      <c r="A8" s="31" t="s">
        <v>23</v>
      </c>
      <c r="C8" s="18"/>
      <c r="D8" s="18"/>
      <c r="E8" s="18"/>
      <c r="F8" s="18"/>
      <c r="G8" s="18"/>
      <c r="H8" s="18"/>
      <c r="I8" s="18"/>
      <c r="L8" s="18"/>
    </row>
    <row r="9" spans="1:18" x14ac:dyDescent="0.2">
      <c r="C9" s="18"/>
      <c r="D9" s="18"/>
      <c r="E9" s="18"/>
      <c r="F9" s="18"/>
      <c r="G9" s="18"/>
      <c r="H9" s="18"/>
      <c r="I9" s="18"/>
      <c r="J9" s="18"/>
      <c r="L9" s="18"/>
      <c r="R9" s="19" t="s">
        <v>2</v>
      </c>
    </row>
    <row r="10" spans="1:18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8" ht="12.75" customHeight="1" x14ac:dyDescent="0.2">
      <c r="A11" s="171" t="s">
        <v>33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8" ht="12.75" customHeight="1" x14ac:dyDescent="0.2">
      <c r="A12" s="172"/>
      <c r="B12" s="106" t="s">
        <v>5</v>
      </c>
      <c r="C12" s="106" t="s">
        <v>6</v>
      </c>
      <c r="D12" s="106"/>
      <c r="E12" s="106"/>
      <c r="F12" s="106"/>
      <c r="G12" s="106" t="s">
        <v>7</v>
      </c>
      <c r="H12" s="106"/>
      <c r="I12" s="106"/>
      <c r="J12" s="106"/>
      <c r="K12" s="106"/>
      <c r="L12" s="106"/>
      <c r="M12" s="106"/>
    </row>
    <row r="13" spans="1:18" ht="24.75" customHeight="1" x14ac:dyDescent="0.25">
      <c r="A13" s="173"/>
      <c r="B13" s="107"/>
      <c r="C13" s="107" t="s">
        <v>8</v>
      </c>
      <c r="D13" s="107" t="s">
        <v>9</v>
      </c>
      <c r="E13" s="107" t="s">
        <v>10</v>
      </c>
      <c r="F13" s="107" t="s">
        <v>11</v>
      </c>
      <c r="G13" s="107" t="s">
        <v>12</v>
      </c>
      <c r="H13" s="107" t="s">
        <v>95</v>
      </c>
      <c r="I13" s="107" t="s">
        <v>96</v>
      </c>
      <c r="J13" s="107" t="s">
        <v>15</v>
      </c>
      <c r="K13" s="107" t="s">
        <v>21</v>
      </c>
      <c r="L13" s="107" t="s">
        <v>16</v>
      </c>
      <c r="M13" s="107" t="s">
        <v>17</v>
      </c>
    </row>
    <row r="14" spans="1:18" ht="28.5" customHeight="1" x14ac:dyDescent="0.2">
      <c r="A14" s="108" t="s">
        <v>94</v>
      </c>
      <c r="B14" s="109">
        <f t="shared" ref="B14" si="0">SUM(C14:M14)</f>
        <v>19966938</v>
      </c>
      <c r="C14" s="21">
        <v>674500</v>
      </c>
      <c r="D14" s="21">
        <v>378500</v>
      </c>
      <c r="E14" s="21">
        <v>4006683</v>
      </c>
      <c r="F14" s="21">
        <f>10176287+961819</f>
        <v>11138106</v>
      </c>
      <c r="G14" s="21">
        <v>1265000</v>
      </c>
      <c r="H14" s="21">
        <v>0</v>
      </c>
      <c r="I14" s="21">
        <v>0</v>
      </c>
      <c r="J14" s="21">
        <v>750000</v>
      </c>
      <c r="K14" s="21">
        <v>315849</v>
      </c>
      <c r="L14" s="109">
        <v>230732</v>
      </c>
      <c r="M14" s="21">
        <v>1207568</v>
      </c>
    </row>
    <row r="16" spans="1:18" x14ac:dyDescent="0.2">
      <c r="A16" s="17" t="s">
        <v>27</v>
      </c>
      <c r="B16" s="42">
        <v>45717</v>
      </c>
    </row>
    <row r="17" spans="1:18" x14ac:dyDescent="0.2">
      <c r="A17" s="17" t="s">
        <v>28</v>
      </c>
      <c r="B17" s="42">
        <v>45962</v>
      </c>
    </row>
    <row r="19" spans="1:18" x14ac:dyDescent="0.2">
      <c r="A19" s="43" t="s">
        <v>67</v>
      </c>
      <c r="B19" s="44"/>
      <c r="C19" s="45"/>
      <c r="D19" s="45"/>
      <c r="E19" s="45"/>
      <c r="F19" s="45"/>
    </row>
    <row r="20" spans="1:18" x14ac:dyDescent="0.2">
      <c r="A20" s="43" t="s">
        <v>68</v>
      </c>
      <c r="B20" s="44"/>
      <c r="C20" s="45"/>
      <c r="D20" s="45"/>
      <c r="E20" s="45"/>
      <c r="F20" s="45"/>
    </row>
    <row r="21" spans="1:18" x14ac:dyDescent="0.2">
      <c r="A21" s="43" t="s">
        <v>69</v>
      </c>
    </row>
    <row r="22" spans="1:18" ht="7.5" customHeight="1" x14ac:dyDescent="0.2"/>
    <row r="23" spans="1:18" ht="57.75" customHeight="1" x14ac:dyDescent="0.2">
      <c r="A23" s="46" t="s">
        <v>70</v>
      </c>
      <c r="B23" s="46" t="s">
        <v>71</v>
      </c>
      <c r="C23" s="46" t="s">
        <v>72</v>
      </c>
      <c r="D23" s="46" t="s">
        <v>73</v>
      </c>
      <c r="E23" s="46" t="s">
        <v>74</v>
      </c>
      <c r="F23" s="46" t="s">
        <v>75</v>
      </c>
      <c r="G23" s="46" t="s">
        <v>76</v>
      </c>
      <c r="H23" s="46" t="s">
        <v>77</v>
      </c>
      <c r="I23" s="46" t="s">
        <v>78</v>
      </c>
      <c r="J23" s="46" t="s">
        <v>79</v>
      </c>
      <c r="K23" s="46" t="s">
        <v>80</v>
      </c>
      <c r="L23" s="47" t="s">
        <v>81</v>
      </c>
      <c r="M23" s="46" t="s">
        <v>82</v>
      </c>
      <c r="N23" s="46" t="s">
        <v>83</v>
      </c>
      <c r="O23" s="44" t="s">
        <v>84</v>
      </c>
      <c r="P23" s="46" t="s">
        <v>85</v>
      </c>
      <c r="Q23" s="46" t="s">
        <v>86</v>
      </c>
      <c r="R23" s="46" t="s">
        <v>87</v>
      </c>
    </row>
    <row r="24" spans="1:18" x14ac:dyDescent="0.2">
      <c r="A24" s="52">
        <v>45352</v>
      </c>
      <c r="B24" s="53">
        <v>3504.77</v>
      </c>
      <c r="C24" s="53">
        <v>0</v>
      </c>
      <c r="D24" s="54">
        <v>0</v>
      </c>
      <c r="E24" s="54"/>
      <c r="F24" s="54">
        <f t="shared" ref="F24:F44" si="1">SUM(B24:E24)</f>
        <v>3504.77</v>
      </c>
      <c r="G24" s="55">
        <v>0</v>
      </c>
      <c r="H24" s="55"/>
      <c r="I24" s="54">
        <f t="shared" ref="I24:I44" si="2">+F24/2</f>
        <v>1752.385</v>
      </c>
      <c r="J24" s="55">
        <v>0</v>
      </c>
      <c r="K24" s="55">
        <v>0</v>
      </c>
      <c r="L24" s="56">
        <f t="shared" ref="L24:L27" si="3">SUM(G24:K24)</f>
        <v>1752.385</v>
      </c>
      <c r="M24" s="69">
        <v>1.2128749589367172E-3</v>
      </c>
      <c r="N24" s="75">
        <v>6.560190969950995E-3</v>
      </c>
      <c r="O24" s="72">
        <f>ROUND(+M24*L24,2)</f>
        <v>2.13</v>
      </c>
      <c r="P24" s="73">
        <f>ROUND(+N24*L24,2)</f>
        <v>11.5</v>
      </c>
      <c r="Q24" s="49">
        <f>+O24+P24</f>
        <v>13.629999999999999</v>
      </c>
      <c r="R24" s="49">
        <f t="shared" ref="R24:R26" si="4">+F24+G24+K24</f>
        <v>3504.77</v>
      </c>
    </row>
    <row r="25" spans="1:18" x14ac:dyDescent="0.2">
      <c r="A25" s="52">
        <v>45383</v>
      </c>
      <c r="B25" s="53">
        <v>11643.87</v>
      </c>
      <c r="C25" s="53">
        <v>0</v>
      </c>
      <c r="D25" s="54">
        <v>0</v>
      </c>
      <c r="E25" s="54"/>
      <c r="F25" s="54">
        <f t="shared" si="1"/>
        <v>11643.87</v>
      </c>
      <c r="G25" s="55">
        <f>+R24</f>
        <v>3504.77</v>
      </c>
      <c r="H25" s="55"/>
      <c r="I25" s="54">
        <f t="shared" si="2"/>
        <v>5821.9350000000004</v>
      </c>
      <c r="J25" s="55">
        <v>0</v>
      </c>
      <c r="K25" s="55">
        <f>+Q24</f>
        <v>13.629999999999999</v>
      </c>
      <c r="L25" s="56">
        <f t="shared" si="3"/>
        <v>9340.3349999999991</v>
      </c>
      <c r="M25" s="69">
        <v>1.2128749589367172E-3</v>
      </c>
      <c r="N25" s="75">
        <v>6.560190969950995E-3</v>
      </c>
      <c r="O25" s="72">
        <f t="shared" ref="O25:O44" si="5">ROUND(+M25*L25,2)</f>
        <v>11.33</v>
      </c>
      <c r="P25" s="73">
        <f t="shared" ref="P25:P44" si="6">ROUND(+N25*L25,2)</f>
        <v>61.27</v>
      </c>
      <c r="Q25" s="49">
        <f t="shared" ref="Q25:Q44" si="7">+O25+P25</f>
        <v>72.600000000000009</v>
      </c>
      <c r="R25" s="49">
        <f t="shared" si="4"/>
        <v>15162.27</v>
      </c>
    </row>
    <row r="26" spans="1:18" x14ac:dyDescent="0.2">
      <c r="A26" s="52">
        <v>45413</v>
      </c>
      <c r="B26" s="53">
        <v>61378.36</v>
      </c>
      <c r="C26" s="53">
        <v>0</v>
      </c>
      <c r="D26" s="54">
        <v>0</v>
      </c>
      <c r="E26" s="54"/>
      <c r="F26" s="54">
        <f t="shared" si="1"/>
        <v>61378.36</v>
      </c>
      <c r="G26" s="55">
        <f>+R25</f>
        <v>15162.27</v>
      </c>
      <c r="H26" s="55"/>
      <c r="I26" s="54">
        <f t="shared" si="2"/>
        <v>30689.18</v>
      </c>
      <c r="J26" s="55">
        <v>0</v>
      </c>
      <c r="K26" s="55">
        <f t="shared" ref="K26:K28" si="8">+Q25</f>
        <v>72.600000000000009</v>
      </c>
      <c r="L26" s="56">
        <f t="shared" si="3"/>
        <v>45924.049999999996</v>
      </c>
      <c r="M26" s="69">
        <v>1.2128749589367172E-3</v>
      </c>
      <c r="N26" s="75">
        <v>6.560190969950995E-3</v>
      </c>
      <c r="O26" s="72">
        <f t="shared" si="5"/>
        <v>55.7</v>
      </c>
      <c r="P26" s="73">
        <f t="shared" si="6"/>
        <v>301.27</v>
      </c>
      <c r="Q26" s="49">
        <f t="shared" si="7"/>
        <v>356.96999999999997</v>
      </c>
      <c r="R26" s="49">
        <f t="shared" si="4"/>
        <v>76613.23000000001</v>
      </c>
    </row>
    <row r="27" spans="1:18" x14ac:dyDescent="0.2">
      <c r="A27" s="52">
        <v>45444</v>
      </c>
      <c r="B27" s="53">
        <v>0</v>
      </c>
      <c r="C27" s="53">
        <v>0</v>
      </c>
      <c r="D27" s="54">
        <v>0</v>
      </c>
      <c r="E27" s="54" t="s">
        <v>93</v>
      </c>
      <c r="F27" s="54">
        <f t="shared" si="1"/>
        <v>0</v>
      </c>
      <c r="G27" s="55">
        <v>0</v>
      </c>
      <c r="H27" s="55"/>
      <c r="I27" s="54">
        <f t="shared" si="2"/>
        <v>0</v>
      </c>
      <c r="J27" s="55">
        <v>0</v>
      </c>
      <c r="K27" s="55">
        <v>0</v>
      </c>
      <c r="L27" s="56">
        <f t="shared" si="3"/>
        <v>0</v>
      </c>
      <c r="M27" s="69">
        <v>1.2128749589367172E-3</v>
      </c>
      <c r="N27" s="75">
        <v>6.560190969950995E-3</v>
      </c>
      <c r="O27" s="72">
        <f t="shared" si="5"/>
        <v>0</v>
      </c>
      <c r="P27" s="73">
        <f t="shared" si="6"/>
        <v>0</v>
      </c>
      <c r="Q27" s="49">
        <f t="shared" si="7"/>
        <v>0</v>
      </c>
      <c r="R27" s="49">
        <f>+F27+G27+K27</f>
        <v>0</v>
      </c>
    </row>
    <row r="28" spans="1:18" x14ac:dyDescent="0.2">
      <c r="A28" s="52">
        <v>45474</v>
      </c>
      <c r="B28" s="53">
        <v>0</v>
      </c>
      <c r="C28" s="53">
        <v>0</v>
      </c>
      <c r="D28" s="54">
        <v>0</v>
      </c>
      <c r="E28" s="54" t="s">
        <v>93</v>
      </c>
      <c r="F28" s="54">
        <f t="shared" si="1"/>
        <v>0</v>
      </c>
      <c r="G28" s="55">
        <f t="shared" ref="G28:G44" si="9">+R27</f>
        <v>0</v>
      </c>
      <c r="H28" s="55"/>
      <c r="I28" s="54">
        <f t="shared" si="2"/>
        <v>0</v>
      </c>
      <c r="J28" s="55">
        <v>0</v>
      </c>
      <c r="K28" s="55">
        <f t="shared" si="8"/>
        <v>0</v>
      </c>
      <c r="L28" s="56">
        <f>SUM(G28:K28)</f>
        <v>0</v>
      </c>
      <c r="M28" s="69">
        <v>1.2128749589367172E-3</v>
      </c>
      <c r="N28" s="75">
        <v>6.560190969950995E-3</v>
      </c>
      <c r="O28" s="72">
        <f t="shared" si="5"/>
        <v>0</v>
      </c>
      <c r="P28" s="73">
        <f t="shared" si="6"/>
        <v>0</v>
      </c>
      <c r="Q28" s="49">
        <f t="shared" si="7"/>
        <v>0</v>
      </c>
      <c r="R28" s="49">
        <f>+F28+G28+K28</f>
        <v>0</v>
      </c>
    </row>
    <row r="29" spans="1:18" x14ac:dyDescent="0.2">
      <c r="A29" s="52">
        <v>45505</v>
      </c>
      <c r="B29" s="53">
        <v>0</v>
      </c>
      <c r="C29" s="53">
        <v>0</v>
      </c>
      <c r="D29" s="54">
        <v>0</v>
      </c>
      <c r="E29" s="54" t="s">
        <v>93</v>
      </c>
      <c r="F29" s="54">
        <f t="shared" si="1"/>
        <v>0</v>
      </c>
      <c r="G29" s="55">
        <f t="shared" si="9"/>
        <v>0</v>
      </c>
      <c r="H29" s="55">
        <v>0</v>
      </c>
      <c r="I29" s="54">
        <f t="shared" si="2"/>
        <v>0</v>
      </c>
      <c r="J29" s="55">
        <v>0</v>
      </c>
      <c r="K29" s="55">
        <f>+Q28</f>
        <v>0</v>
      </c>
      <c r="L29" s="56">
        <f t="shared" ref="L29" si="10">SUM(G29:K29)</f>
        <v>0</v>
      </c>
      <c r="M29" s="69">
        <v>1.2128749589367172E-3</v>
      </c>
      <c r="N29" s="75">
        <v>6.560190969950995E-3</v>
      </c>
      <c r="O29" s="72">
        <f t="shared" si="5"/>
        <v>0</v>
      </c>
      <c r="P29" s="73">
        <f t="shared" si="6"/>
        <v>0</v>
      </c>
      <c r="Q29" s="49">
        <f t="shared" si="7"/>
        <v>0</v>
      </c>
      <c r="R29" s="49">
        <f t="shared" ref="R29:R44" si="11">+F29+G29+K29</f>
        <v>0</v>
      </c>
    </row>
    <row r="30" spans="1:18" x14ac:dyDescent="0.2">
      <c r="A30" s="52">
        <v>45536</v>
      </c>
      <c r="B30" s="49">
        <v>0</v>
      </c>
      <c r="C30" s="53">
        <v>0</v>
      </c>
      <c r="D30" s="54">
        <v>0</v>
      </c>
      <c r="E30" s="54" t="s">
        <v>93</v>
      </c>
      <c r="F30" s="54">
        <f t="shared" si="1"/>
        <v>0</v>
      </c>
      <c r="G30" s="55">
        <f t="shared" si="9"/>
        <v>0</v>
      </c>
      <c r="H30" s="55">
        <v>0</v>
      </c>
      <c r="I30" s="54">
        <f t="shared" si="2"/>
        <v>0</v>
      </c>
      <c r="J30" s="55">
        <v>0</v>
      </c>
      <c r="K30" s="55">
        <f>+Q29</f>
        <v>0</v>
      </c>
      <c r="L30" s="56">
        <v>0</v>
      </c>
      <c r="M30" s="69">
        <v>1.2128749589367172E-3</v>
      </c>
      <c r="N30" s="75">
        <v>6.560190969950995E-3</v>
      </c>
      <c r="O30" s="72">
        <f t="shared" si="5"/>
        <v>0</v>
      </c>
      <c r="P30" s="73">
        <f t="shared" si="6"/>
        <v>0</v>
      </c>
      <c r="Q30" s="49">
        <f t="shared" si="7"/>
        <v>0</v>
      </c>
      <c r="R30" s="49">
        <f t="shared" si="11"/>
        <v>0</v>
      </c>
    </row>
    <row r="31" spans="1:18" x14ac:dyDescent="0.2">
      <c r="A31" s="52">
        <v>45566</v>
      </c>
      <c r="B31" s="49">
        <v>0</v>
      </c>
      <c r="C31" s="53">
        <v>0</v>
      </c>
      <c r="D31" s="54">
        <v>0</v>
      </c>
      <c r="E31" s="54" t="s">
        <v>93</v>
      </c>
      <c r="F31" s="54">
        <f t="shared" si="1"/>
        <v>0</v>
      </c>
      <c r="G31" s="55">
        <f t="shared" si="9"/>
        <v>0</v>
      </c>
      <c r="H31" s="55">
        <v>0</v>
      </c>
      <c r="I31" s="54">
        <f t="shared" si="2"/>
        <v>0</v>
      </c>
      <c r="J31" s="55">
        <v>0</v>
      </c>
      <c r="K31" s="55">
        <f t="shared" ref="K31:K43" si="12">+Q30</f>
        <v>0</v>
      </c>
      <c r="L31" s="56">
        <v>0</v>
      </c>
      <c r="M31" s="69">
        <v>1.21287495893672E-3</v>
      </c>
      <c r="N31" s="75">
        <v>6.5601909699509898E-3</v>
      </c>
      <c r="O31" s="72">
        <f t="shared" si="5"/>
        <v>0</v>
      </c>
      <c r="P31" s="73">
        <f t="shared" si="6"/>
        <v>0</v>
      </c>
      <c r="Q31" s="49">
        <f t="shared" si="7"/>
        <v>0</v>
      </c>
      <c r="R31" s="49">
        <f t="shared" si="11"/>
        <v>0</v>
      </c>
    </row>
    <row r="32" spans="1:18" x14ac:dyDescent="0.2">
      <c r="A32" s="52">
        <v>45597</v>
      </c>
      <c r="B32" s="49">
        <v>0</v>
      </c>
      <c r="C32" s="53">
        <v>0</v>
      </c>
      <c r="D32" s="54">
        <v>0</v>
      </c>
      <c r="E32" s="54" t="s">
        <v>93</v>
      </c>
      <c r="F32" s="54">
        <f t="shared" si="1"/>
        <v>0</v>
      </c>
      <c r="G32" s="55">
        <f t="shared" si="9"/>
        <v>0</v>
      </c>
      <c r="H32" s="55">
        <v>0</v>
      </c>
      <c r="I32" s="54">
        <f t="shared" si="2"/>
        <v>0</v>
      </c>
      <c r="J32" s="55">
        <v>0</v>
      </c>
      <c r="K32" s="55">
        <f t="shared" si="12"/>
        <v>0</v>
      </c>
      <c r="L32" s="56">
        <v>0</v>
      </c>
      <c r="M32" s="69">
        <v>1.21287495893672E-3</v>
      </c>
      <c r="N32" s="75">
        <v>6.5601909699509898E-3</v>
      </c>
      <c r="O32" s="72">
        <f t="shared" si="5"/>
        <v>0</v>
      </c>
      <c r="P32" s="73">
        <f t="shared" si="6"/>
        <v>0</v>
      </c>
      <c r="Q32" s="49">
        <f t="shared" si="7"/>
        <v>0</v>
      </c>
      <c r="R32" s="49">
        <f t="shared" si="11"/>
        <v>0</v>
      </c>
    </row>
    <row r="33" spans="1:18" x14ac:dyDescent="0.2">
      <c r="A33" s="52">
        <v>45627</v>
      </c>
      <c r="B33" s="49">
        <v>0</v>
      </c>
      <c r="C33" s="53">
        <v>0</v>
      </c>
      <c r="D33" s="54">
        <v>0</v>
      </c>
      <c r="E33" s="54" t="s">
        <v>93</v>
      </c>
      <c r="F33" s="54">
        <f t="shared" si="1"/>
        <v>0</v>
      </c>
      <c r="G33" s="55">
        <f t="shared" si="9"/>
        <v>0</v>
      </c>
      <c r="H33" s="55">
        <v>0</v>
      </c>
      <c r="I33" s="54">
        <f t="shared" si="2"/>
        <v>0</v>
      </c>
      <c r="J33" s="55">
        <v>0</v>
      </c>
      <c r="K33" s="55">
        <f t="shared" si="12"/>
        <v>0</v>
      </c>
      <c r="L33" s="56">
        <v>0</v>
      </c>
      <c r="M33" s="69">
        <v>1.21287495893672E-3</v>
      </c>
      <c r="N33" s="75">
        <v>6.5601909699509898E-3</v>
      </c>
      <c r="O33" s="72">
        <f t="shared" si="5"/>
        <v>0</v>
      </c>
      <c r="P33" s="73">
        <f t="shared" si="6"/>
        <v>0</v>
      </c>
      <c r="Q33" s="49">
        <f t="shared" si="7"/>
        <v>0</v>
      </c>
      <c r="R33" s="49">
        <f t="shared" si="11"/>
        <v>0</v>
      </c>
    </row>
    <row r="34" spans="1:18" x14ac:dyDescent="0.2">
      <c r="A34" s="52">
        <v>45658</v>
      </c>
      <c r="B34" s="49">
        <v>0</v>
      </c>
      <c r="C34" s="53">
        <v>0</v>
      </c>
      <c r="D34" s="54">
        <v>0</v>
      </c>
      <c r="E34" s="54" t="s">
        <v>93</v>
      </c>
      <c r="F34" s="54">
        <f t="shared" si="1"/>
        <v>0</v>
      </c>
      <c r="G34" s="55">
        <f t="shared" si="9"/>
        <v>0</v>
      </c>
      <c r="H34" s="55">
        <v>0</v>
      </c>
      <c r="I34" s="54">
        <f t="shared" si="2"/>
        <v>0</v>
      </c>
      <c r="J34" s="55">
        <v>0</v>
      </c>
      <c r="K34" s="55">
        <f t="shared" si="12"/>
        <v>0</v>
      </c>
      <c r="L34" s="56">
        <v>0</v>
      </c>
      <c r="M34" s="69">
        <v>1.21287495893672E-3</v>
      </c>
      <c r="N34" s="75">
        <v>6.5601909699509898E-3</v>
      </c>
      <c r="O34" s="72">
        <f t="shared" si="5"/>
        <v>0</v>
      </c>
      <c r="P34" s="73">
        <f t="shared" si="6"/>
        <v>0</v>
      </c>
      <c r="Q34" s="49">
        <f t="shared" si="7"/>
        <v>0</v>
      </c>
      <c r="R34" s="49">
        <f t="shared" si="11"/>
        <v>0</v>
      </c>
    </row>
    <row r="35" spans="1:18" x14ac:dyDescent="0.2">
      <c r="A35" s="52">
        <v>45689</v>
      </c>
      <c r="B35" s="49">
        <v>50000</v>
      </c>
      <c r="C35" s="53">
        <v>-15000</v>
      </c>
      <c r="D35" s="54">
        <v>0</v>
      </c>
      <c r="E35" s="54" t="s">
        <v>93</v>
      </c>
      <c r="F35" s="54">
        <f t="shared" si="1"/>
        <v>35000</v>
      </c>
      <c r="G35" s="55">
        <f t="shared" si="9"/>
        <v>0</v>
      </c>
      <c r="H35" s="55">
        <v>0</v>
      </c>
      <c r="I35" s="54">
        <f t="shared" si="2"/>
        <v>17500</v>
      </c>
      <c r="J35" s="55">
        <v>0</v>
      </c>
      <c r="K35" s="55">
        <f t="shared" si="12"/>
        <v>0</v>
      </c>
      <c r="L35" s="56">
        <v>0</v>
      </c>
      <c r="M35" s="69">
        <v>1.21287495893672E-3</v>
      </c>
      <c r="N35" s="75">
        <v>6.5601909699509898E-3</v>
      </c>
      <c r="O35" s="72">
        <f t="shared" si="5"/>
        <v>0</v>
      </c>
      <c r="P35" s="73">
        <f t="shared" si="6"/>
        <v>0</v>
      </c>
      <c r="Q35" s="49">
        <f t="shared" si="7"/>
        <v>0</v>
      </c>
      <c r="R35" s="49">
        <f t="shared" si="11"/>
        <v>35000</v>
      </c>
    </row>
    <row r="36" spans="1:18" x14ac:dyDescent="0.2">
      <c r="A36" s="52">
        <v>45717</v>
      </c>
      <c r="B36" s="49">
        <v>50000</v>
      </c>
      <c r="C36" s="53">
        <v>-10000</v>
      </c>
      <c r="D36" s="54">
        <v>0</v>
      </c>
      <c r="E36" s="54" t="s">
        <v>93</v>
      </c>
      <c r="F36" s="54">
        <f t="shared" si="1"/>
        <v>40000</v>
      </c>
      <c r="G36" s="55">
        <f>+R26</f>
        <v>76613.23000000001</v>
      </c>
      <c r="H36" s="55">
        <v>0</v>
      </c>
      <c r="I36" s="54">
        <f t="shared" si="2"/>
        <v>20000</v>
      </c>
      <c r="J36" s="55">
        <v>0</v>
      </c>
      <c r="K36" s="55">
        <f t="shared" si="12"/>
        <v>0</v>
      </c>
      <c r="L36" s="56">
        <f t="shared" ref="L36" si="13">SUM(G36:K36)</f>
        <v>96613.23000000001</v>
      </c>
      <c r="M36" s="69">
        <v>1.21287495893672E-3</v>
      </c>
      <c r="N36" s="75">
        <v>6.5601909699509898E-3</v>
      </c>
      <c r="O36" s="72">
        <f t="shared" si="5"/>
        <v>117.18</v>
      </c>
      <c r="P36" s="73">
        <f t="shared" si="6"/>
        <v>633.79999999999995</v>
      </c>
      <c r="Q36" s="49">
        <f t="shared" si="7"/>
        <v>750.98</v>
      </c>
      <c r="R36" s="49">
        <f t="shared" si="11"/>
        <v>116613.23000000001</v>
      </c>
    </row>
    <row r="37" spans="1:18" x14ac:dyDescent="0.2">
      <c r="A37" s="52">
        <v>45748</v>
      </c>
      <c r="B37" s="49">
        <v>50000</v>
      </c>
      <c r="C37" s="53">
        <v>-10000</v>
      </c>
      <c r="D37" s="54">
        <v>0</v>
      </c>
      <c r="E37" s="54"/>
      <c r="F37" s="54">
        <f t="shared" si="1"/>
        <v>40000</v>
      </c>
      <c r="G37" s="55">
        <f t="shared" si="9"/>
        <v>116613.23000000001</v>
      </c>
      <c r="H37" s="55">
        <v>0</v>
      </c>
      <c r="I37" s="54">
        <f t="shared" si="2"/>
        <v>20000</v>
      </c>
      <c r="J37" s="55">
        <v>0</v>
      </c>
      <c r="K37" s="55">
        <f t="shared" si="12"/>
        <v>750.98</v>
      </c>
      <c r="L37" s="56">
        <f t="shared" ref="L37:L44" si="14">SUM(G37:K37)</f>
        <v>137364.21000000002</v>
      </c>
      <c r="M37" s="69">
        <v>1.21287495893672E-3</v>
      </c>
      <c r="N37" s="75">
        <v>6.5601909699509898E-3</v>
      </c>
      <c r="O37" s="72">
        <f t="shared" si="5"/>
        <v>166.61</v>
      </c>
      <c r="P37" s="73">
        <f t="shared" si="6"/>
        <v>901.14</v>
      </c>
      <c r="Q37" s="49">
        <f t="shared" si="7"/>
        <v>1067.75</v>
      </c>
      <c r="R37" s="49">
        <f t="shared" si="11"/>
        <v>157364.21000000002</v>
      </c>
    </row>
    <row r="38" spans="1:18" x14ac:dyDescent="0.2">
      <c r="A38" s="52">
        <v>45778</v>
      </c>
      <c r="B38" s="49">
        <v>53000</v>
      </c>
      <c r="C38" s="53">
        <v>-15000</v>
      </c>
      <c r="D38" s="54">
        <v>0</v>
      </c>
      <c r="E38" s="54"/>
      <c r="F38" s="54">
        <f t="shared" si="1"/>
        <v>38000</v>
      </c>
      <c r="G38" s="55">
        <f t="shared" si="9"/>
        <v>157364.21000000002</v>
      </c>
      <c r="H38" s="55">
        <v>0</v>
      </c>
      <c r="I38" s="54">
        <f t="shared" si="2"/>
        <v>19000</v>
      </c>
      <c r="J38" s="55">
        <v>0</v>
      </c>
      <c r="K38" s="55">
        <f t="shared" si="12"/>
        <v>1067.75</v>
      </c>
      <c r="L38" s="56">
        <f t="shared" si="14"/>
        <v>177431.96000000002</v>
      </c>
      <c r="M38" s="69">
        <v>1.21287495893672E-3</v>
      </c>
      <c r="N38" s="75">
        <v>6.5601909699509898E-3</v>
      </c>
      <c r="O38" s="72">
        <f t="shared" si="5"/>
        <v>215.2</v>
      </c>
      <c r="P38" s="73">
        <f t="shared" si="6"/>
        <v>1163.99</v>
      </c>
      <c r="Q38" s="49">
        <f t="shared" si="7"/>
        <v>1379.19</v>
      </c>
      <c r="R38" s="49">
        <f t="shared" si="11"/>
        <v>196431.96000000002</v>
      </c>
    </row>
    <row r="39" spans="1:18" x14ac:dyDescent="0.2">
      <c r="A39" s="52">
        <v>45809</v>
      </c>
      <c r="B39" s="49">
        <v>60000</v>
      </c>
      <c r="C39" s="53">
        <v>-10000</v>
      </c>
      <c r="D39" s="54">
        <v>0</v>
      </c>
      <c r="E39" s="54"/>
      <c r="F39" s="54">
        <f t="shared" si="1"/>
        <v>50000</v>
      </c>
      <c r="G39" s="55">
        <f t="shared" si="9"/>
        <v>196431.96000000002</v>
      </c>
      <c r="H39" s="55">
        <v>0</v>
      </c>
      <c r="I39" s="54">
        <f t="shared" si="2"/>
        <v>25000</v>
      </c>
      <c r="J39" s="55">
        <v>0</v>
      </c>
      <c r="K39" s="55">
        <f t="shared" si="12"/>
        <v>1379.19</v>
      </c>
      <c r="L39" s="56">
        <f t="shared" si="14"/>
        <v>222811.15000000002</v>
      </c>
      <c r="M39" s="69">
        <v>1.21287495893672E-3</v>
      </c>
      <c r="N39" s="75">
        <v>6.5601909699509898E-3</v>
      </c>
      <c r="O39" s="72">
        <f t="shared" si="5"/>
        <v>270.24</v>
      </c>
      <c r="P39" s="73">
        <f t="shared" si="6"/>
        <v>1461.68</v>
      </c>
      <c r="Q39" s="49">
        <f t="shared" si="7"/>
        <v>1731.92</v>
      </c>
      <c r="R39" s="49">
        <f t="shared" si="11"/>
        <v>247811.15000000002</v>
      </c>
    </row>
    <row r="40" spans="1:18" x14ac:dyDescent="0.2">
      <c r="A40" s="52">
        <v>45839</v>
      </c>
      <c r="B40" s="49">
        <v>1000000</v>
      </c>
      <c r="C40" s="53">
        <v>-500000</v>
      </c>
      <c r="D40" s="54">
        <v>0</v>
      </c>
      <c r="E40" s="54"/>
      <c r="F40" s="54">
        <f t="shared" si="1"/>
        <v>500000</v>
      </c>
      <c r="G40" s="55">
        <f t="shared" si="9"/>
        <v>247811.15000000002</v>
      </c>
      <c r="H40" s="55">
        <v>0</v>
      </c>
      <c r="I40" s="54">
        <f t="shared" si="2"/>
        <v>250000</v>
      </c>
      <c r="J40" s="55">
        <v>0</v>
      </c>
      <c r="K40" s="55">
        <f t="shared" si="12"/>
        <v>1731.92</v>
      </c>
      <c r="L40" s="56">
        <f t="shared" si="14"/>
        <v>499543.07</v>
      </c>
      <c r="M40" s="69">
        <v>1.21287495893672E-3</v>
      </c>
      <c r="N40" s="75">
        <v>6.5601909699509898E-3</v>
      </c>
      <c r="O40" s="72">
        <f t="shared" si="5"/>
        <v>605.88</v>
      </c>
      <c r="P40" s="73">
        <f t="shared" si="6"/>
        <v>3277.1</v>
      </c>
      <c r="Q40" s="49">
        <f t="shared" si="7"/>
        <v>3882.98</v>
      </c>
      <c r="R40" s="49">
        <f t="shared" si="11"/>
        <v>749543.07000000007</v>
      </c>
    </row>
    <row r="41" spans="1:18" x14ac:dyDescent="0.2">
      <c r="A41" s="52">
        <v>45870</v>
      </c>
      <c r="B41" s="49">
        <f>1733500+6400</f>
        <v>1739900</v>
      </c>
      <c r="C41" s="53">
        <v>-114500</v>
      </c>
      <c r="D41" s="54">
        <v>0</v>
      </c>
      <c r="E41" s="54"/>
      <c r="F41" s="54">
        <f t="shared" si="1"/>
        <v>1625400</v>
      </c>
      <c r="G41" s="55">
        <f t="shared" si="9"/>
        <v>749543.07000000007</v>
      </c>
      <c r="H41" s="55">
        <v>0</v>
      </c>
      <c r="I41" s="54">
        <f t="shared" si="2"/>
        <v>812700</v>
      </c>
      <c r="J41" s="55">
        <v>0</v>
      </c>
      <c r="K41" s="55">
        <f t="shared" si="12"/>
        <v>3882.98</v>
      </c>
      <c r="L41" s="56">
        <f t="shared" si="14"/>
        <v>1566126.05</v>
      </c>
      <c r="M41" s="69">
        <v>1.21287495893672E-3</v>
      </c>
      <c r="N41" s="75">
        <v>6.5601909699509898E-3</v>
      </c>
      <c r="O41" s="72">
        <f t="shared" si="5"/>
        <v>1899.52</v>
      </c>
      <c r="P41" s="73">
        <f t="shared" si="6"/>
        <v>10274.09</v>
      </c>
      <c r="Q41" s="49">
        <f t="shared" si="7"/>
        <v>12173.61</v>
      </c>
      <c r="R41" s="49">
        <f t="shared" si="11"/>
        <v>2378826.0500000003</v>
      </c>
    </row>
    <row r="42" spans="1:18" x14ac:dyDescent="0.2">
      <c r="A42" s="52">
        <v>45901</v>
      </c>
      <c r="B42" s="49">
        <f>5649000+100</f>
        <v>5649100</v>
      </c>
      <c r="C42" s="53">
        <v>0</v>
      </c>
      <c r="D42" s="54">
        <v>0</v>
      </c>
      <c r="E42" s="54"/>
      <c r="F42" s="54">
        <f t="shared" si="1"/>
        <v>5649100</v>
      </c>
      <c r="G42" s="55">
        <f t="shared" si="9"/>
        <v>2378826.0500000003</v>
      </c>
      <c r="H42" s="55">
        <v>0</v>
      </c>
      <c r="I42" s="54">
        <f t="shared" si="2"/>
        <v>2824550</v>
      </c>
      <c r="J42" s="55">
        <v>0</v>
      </c>
      <c r="K42" s="55">
        <f t="shared" si="12"/>
        <v>12173.61</v>
      </c>
      <c r="L42" s="56">
        <f t="shared" si="14"/>
        <v>5215549.6600000011</v>
      </c>
      <c r="M42" s="69">
        <v>1.21287495893672E-3</v>
      </c>
      <c r="N42" s="75">
        <v>6.5601909699509898E-3</v>
      </c>
      <c r="O42" s="72">
        <f t="shared" si="5"/>
        <v>6325.81</v>
      </c>
      <c r="P42" s="73">
        <f t="shared" si="6"/>
        <v>34215</v>
      </c>
      <c r="Q42" s="49">
        <f t="shared" si="7"/>
        <v>40540.81</v>
      </c>
      <c r="R42" s="49">
        <f t="shared" si="11"/>
        <v>8040099.6600000011</v>
      </c>
    </row>
    <row r="43" spans="1:18" x14ac:dyDescent="0.2">
      <c r="A43" s="52">
        <v>45931</v>
      </c>
      <c r="B43" s="49">
        <v>9052254.1932862997</v>
      </c>
      <c r="C43" s="53">
        <v>0</v>
      </c>
      <c r="D43" s="54">
        <v>0</v>
      </c>
      <c r="E43" s="54"/>
      <c r="F43" s="54">
        <f t="shared" si="1"/>
        <v>9052254.1932862997</v>
      </c>
      <c r="G43" s="55">
        <f t="shared" si="9"/>
        <v>8040099.6600000011</v>
      </c>
      <c r="H43" s="55">
        <v>0</v>
      </c>
      <c r="I43" s="54">
        <f t="shared" si="2"/>
        <v>4526127.0966431499</v>
      </c>
      <c r="J43" s="55">
        <v>0</v>
      </c>
      <c r="K43" s="55">
        <f t="shared" si="12"/>
        <v>40540.81</v>
      </c>
      <c r="L43" s="56">
        <f t="shared" si="14"/>
        <v>12606767.566643151</v>
      </c>
      <c r="M43" s="69">
        <v>1.21287495893672E-3</v>
      </c>
      <c r="N43" s="75">
        <v>6.5601909699509898E-3</v>
      </c>
      <c r="O43" s="72">
        <f t="shared" si="5"/>
        <v>15290.43</v>
      </c>
      <c r="P43" s="73">
        <f t="shared" si="6"/>
        <v>82702.8</v>
      </c>
      <c r="Q43" s="49">
        <f t="shared" si="7"/>
        <v>97993.23000000001</v>
      </c>
      <c r="R43" s="49">
        <f t="shared" si="11"/>
        <v>17132894.663286299</v>
      </c>
    </row>
    <row r="44" spans="1:18" x14ac:dyDescent="0.2">
      <c r="A44" s="52">
        <v>45962</v>
      </c>
      <c r="B44" s="49">
        <v>1955424.8067137008</v>
      </c>
      <c r="C44" s="53">
        <v>0</v>
      </c>
      <c r="D44" s="54">
        <v>0</v>
      </c>
      <c r="E44" s="54"/>
      <c r="F44" s="54">
        <f t="shared" si="1"/>
        <v>1955424.8067137008</v>
      </c>
      <c r="G44" s="55">
        <f t="shared" si="9"/>
        <v>17132894.663286299</v>
      </c>
      <c r="H44" s="55">
        <f>-G44/2</f>
        <v>-8566447.3316431493</v>
      </c>
      <c r="I44" s="54">
        <f t="shared" si="2"/>
        <v>977712.40335685038</v>
      </c>
      <c r="J44" s="55">
        <f>-I44/2</f>
        <v>-488856.20167842519</v>
      </c>
      <c r="K44" s="55">
        <f>+Q43/2</f>
        <v>48996.615000000005</v>
      </c>
      <c r="L44" s="56">
        <f t="shared" si="14"/>
        <v>9104300.1483215746</v>
      </c>
      <c r="M44" s="69">
        <v>1.21287495893672E-3</v>
      </c>
      <c r="N44" s="75">
        <v>6.5601909699509898E-3</v>
      </c>
      <c r="O44" s="72">
        <f t="shared" si="5"/>
        <v>11042.38</v>
      </c>
      <c r="P44" s="73">
        <f t="shared" si="6"/>
        <v>59725.95</v>
      </c>
      <c r="Q44" s="49">
        <f t="shared" si="7"/>
        <v>70768.33</v>
      </c>
      <c r="R44" s="49">
        <f t="shared" si="11"/>
        <v>19137316.084999997</v>
      </c>
    </row>
    <row r="45" spans="1:18" x14ac:dyDescent="0.2">
      <c r="A45" s="52"/>
      <c r="B45" s="48">
        <f>SUM(B24:B44)</f>
        <v>19736206</v>
      </c>
      <c r="C45" s="71">
        <f>SUM(C24:C44)</f>
        <v>-674500</v>
      </c>
      <c r="F45" s="49"/>
      <c r="O45" s="74"/>
      <c r="P45" s="74"/>
      <c r="Q45" s="48">
        <f>SUM(Q24:Q44)</f>
        <v>230732</v>
      </c>
    </row>
    <row r="46" spans="1:18" x14ac:dyDescent="0.2">
      <c r="A46" s="52"/>
      <c r="B46" s="49"/>
      <c r="R46" s="49"/>
    </row>
    <row r="47" spans="1:18" x14ac:dyDescent="0.2">
      <c r="A47" s="52"/>
      <c r="B47" s="49"/>
      <c r="R47" s="49"/>
    </row>
    <row r="48" spans="1:18" x14ac:dyDescent="0.2">
      <c r="A48" s="52"/>
      <c r="B48" s="49"/>
      <c r="R48" s="49"/>
    </row>
    <row r="50" spans="1:4" x14ac:dyDescent="0.2">
      <c r="A50" s="50" t="s">
        <v>88</v>
      </c>
      <c r="B50" s="110">
        <f>SUM(B24:B44)</f>
        <v>19736206</v>
      </c>
      <c r="C50" s="76"/>
      <c r="D50" s="49"/>
    </row>
    <row r="51" spans="1:4" x14ac:dyDescent="0.2">
      <c r="A51" s="50" t="s">
        <v>86</v>
      </c>
      <c r="B51" s="110">
        <f>+Q45</f>
        <v>230732</v>
      </c>
      <c r="C51" s="76"/>
      <c r="D51" s="49"/>
    </row>
    <row r="52" spans="1:4" ht="12.75" thickBot="1" x14ac:dyDescent="0.25">
      <c r="A52" s="50" t="s">
        <v>5</v>
      </c>
      <c r="B52" s="51">
        <f>SUM(B50:B51)</f>
        <v>19966938</v>
      </c>
    </row>
    <row r="55" spans="1:4" x14ac:dyDescent="0.2">
      <c r="B55" s="17" t="s">
        <v>102</v>
      </c>
    </row>
  </sheetData>
  <mergeCells count="1">
    <mergeCell ref="A11:A13"/>
  </mergeCells>
  <phoneticPr fontId="14" type="noConversion"/>
  <pageMargins left="0.2" right="0.2" top="0.75" bottom="0.75" header="0.3" footer="0.3"/>
  <pageSetup scale="6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8546F-FBDD-44F3-B76F-53A52C746FC1}">
  <dimension ref="A1:S59"/>
  <sheetViews>
    <sheetView topLeftCell="A46" workbookViewId="0">
      <selection activeCell="B59" sqref="B59"/>
    </sheetView>
  </sheetViews>
  <sheetFormatPr defaultColWidth="9.140625" defaultRowHeight="15.75" x14ac:dyDescent="0.25"/>
  <cols>
    <col min="1" max="1" width="17.28515625" style="1" customWidth="1"/>
    <col min="2" max="2" width="12.5703125" style="1" customWidth="1"/>
    <col min="3" max="3" width="10.85546875" style="1" customWidth="1"/>
    <col min="4" max="4" width="12" style="1" customWidth="1"/>
    <col min="5" max="5" width="11.42578125" style="1" customWidth="1"/>
    <col min="6" max="6" width="10.7109375" style="1" bestFit="1" customWidth="1"/>
    <col min="7" max="7" width="11.7109375" style="1" customWidth="1"/>
    <col min="8" max="8" width="11.42578125" style="1" customWidth="1"/>
    <col min="9" max="9" width="13.42578125" style="1" customWidth="1"/>
    <col min="10" max="10" width="12.28515625" style="1" customWidth="1"/>
    <col min="11" max="11" width="11.7109375" style="1" customWidth="1"/>
    <col min="12" max="12" width="11.140625" style="1" customWidth="1"/>
    <col min="13" max="13" width="12.85546875" style="1" customWidth="1"/>
    <col min="14" max="14" width="9.140625" style="1"/>
    <col min="15" max="15" width="9.85546875" style="1" bestFit="1" customWidth="1"/>
    <col min="16" max="16" width="10.7109375" style="1" bestFit="1" customWidth="1"/>
    <col min="17" max="17" width="9.140625" style="1"/>
    <col min="18" max="18" width="11.42578125" style="1" customWidth="1"/>
    <col min="19" max="19" width="12" style="1" customWidth="1"/>
    <col min="20" max="16384" width="9.140625" style="1"/>
  </cols>
  <sheetData>
    <row r="1" spans="1:18" s="22" customFormat="1" ht="12.75" x14ac:dyDescent="0.2">
      <c r="A1" s="22" t="s">
        <v>100</v>
      </c>
    </row>
    <row r="2" spans="1:18" s="22" customFormat="1" ht="12.75" x14ac:dyDescent="0.2"/>
    <row r="3" spans="1:18" s="26" customFormat="1" ht="12.75" x14ac:dyDescent="0.2">
      <c r="A3" s="28" t="s">
        <v>0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29"/>
      <c r="M3" s="29"/>
      <c r="N3" s="29"/>
      <c r="O3" s="29"/>
      <c r="P3" s="29"/>
      <c r="Q3" s="29"/>
      <c r="R3" s="29"/>
    </row>
    <row r="4" spans="1:18" s="26" customFormat="1" ht="16.5" customHeight="1" x14ac:dyDescent="0.2">
      <c r="A4" s="31" t="s">
        <v>32</v>
      </c>
      <c r="B4" s="29"/>
      <c r="C4" s="29"/>
      <c r="D4" s="30"/>
      <c r="E4" s="30"/>
      <c r="F4" s="30"/>
      <c r="G4" s="30"/>
      <c r="H4" s="30"/>
      <c r="I4" s="30"/>
      <c r="J4" s="30"/>
      <c r="K4" s="29"/>
      <c r="L4" s="29"/>
      <c r="M4" s="30"/>
      <c r="N4" s="29"/>
      <c r="O4" s="29"/>
      <c r="P4" s="29"/>
      <c r="Q4" s="29"/>
      <c r="R4" s="29"/>
    </row>
    <row r="5" spans="1:18" s="26" customFormat="1" ht="12.75" x14ac:dyDescent="0.2">
      <c r="A5" s="29" t="s">
        <v>34</v>
      </c>
      <c r="B5" s="32"/>
      <c r="C5" s="33"/>
      <c r="D5" s="30"/>
      <c r="E5" s="30"/>
      <c r="F5" s="30"/>
      <c r="G5" s="30"/>
      <c r="H5" s="30"/>
      <c r="I5" s="30"/>
      <c r="J5" s="30"/>
      <c r="K5" s="30"/>
      <c r="L5" s="29"/>
      <c r="M5" s="30"/>
      <c r="N5" s="29"/>
      <c r="O5" s="29"/>
      <c r="P5" s="29"/>
      <c r="Q5" s="29"/>
      <c r="R5" s="34"/>
    </row>
    <row r="6" spans="1:18" s="26" customFormat="1" ht="12.75" x14ac:dyDescent="0.2">
      <c r="A6" s="29"/>
      <c r="B6" s="32"/>
      <c r="C6" s="33"/>
      <c r="D6" s="30"/>
      <c r="E6" s="30"/>
      <c r="F6" s="30"/>
      <c r="G6" s="30"/>
      <c r="H6" s="30"/>
      <c r="I6" s="30"/>
      <c r="J6" s="30"/>
      <c r="K6" s="30"/>
      <c r="L6" s="29"/>
      <c r="M6" s="30"/>
      <c r="N6" s="34"/>
      <c r="O6" s="29"/>
      <c r="P6" s="29"/>
      <c r="Q6" s="29"/>
      <c r="R6" s="29"/>
    </row>
    <row r="7" spans="1:18" ht="24" customHeight="1" x14ac:dyDescent="0.25">
      <c r="A7" s="31" t="s">
        <v>1</v>
      </c>
      <c r="B7" s="17"/>
      <c r="C7" s="18"/>
      <c r="D7" s="18"/>
      <c r="E7" s="18"/>
      <c r="F7" s="18"/>
      <c r="G7" s="18"/>
      <c r="H7" s="18"/>
      <c r="I7" s="18"/>
      <c r="J7" s="17"/>
      <c r="K7" s="17"/>
      <c r="L7" s="18"/>
      <c r="M7" s="17"/>
      <c r="N7" s="17"/>
      <c r="O7" s="17"/>
      <c r="P7" s="17"/>
      <c r="Q7" s="17"/>
    </row>
    <row r="8" spans="1:18" x14ac:dyDescent="0.25">
      <c r="A8" s="77" t="s">
        <v>25</v>
      </c>
      <c r="B8" s="17"/>
      <c r="C8" s="18"/>
      <c r="D8" s="18"/>
      <c r="E8" s="18"/>
      <c r="F8" s="18"/>
      <c r="G8" s="18"/>
      <c r="H8" s="18"/>
      <c r="I8" s="18"/>
      <c r="J8" s="18"/>
      <c r="K8" s="17"/>
      <c r="L8" s="18"/>
      <c r="N8" s="17"/>
      <c r="O8" s="17"/>
      <c r="P8" s="17"/>
      <c r="Q8" s="17"/>
      <c r="R8" s="19" t="s">
        <v>2</v>
      </c>
    </row>
    <row r="9" spans="1:18" x14ac:dyDescent="0.25">
      <c r="A9" s="17"/>
      <c r="B9" s="1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7"/>
      <c r="O9" s="17"/>
      <c r="P9" s="17"/>
      <c r="Q9" s="17"/>
      <c r="R9" s="17"/>
    </row>
    <row r="10" spans="1:18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7"/>
      <c r="O10" s="17"/>
      <c r="P10" s="17"/>
      <c r="Q10" s="17"/>
      <c r="R10" s="17"/>
    </row>
    <row r="11" spans="1:18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7"/>
      <c r="O11" s="17"/>
      <c r="P11" s="17"/>
      <c r="Q11" s="17"/>
      <c r="R11" s="17"/>
    </row>
    <row r="12" spans="1:18" s="23" customFormat="1" ht="13.5" customHeight="1" x14ac:dyDescent="0.25">
      <c r="A12" s="171" t="s">
        <v>33</v>
      </c>
      <c r="B12" s="38"/>
      <c r="C12" s="38"/>
      <c r="D12" s="38"/>
      <c r="E12" s="38"/>
      <c r="F12" s="38"/>
      <c r="G12" s="176" t="s">
        <v>7</v>
      </c>
      <c r="H12" s="38"/>
      <c r="I12" s="38"/>
      <c r="J12" s="38"/>
      <c r="K12" s="38"/>
      <c r="L12" s="38"/>
      <c r="M12" s="38"/>
      <c r="N12" s="29"/>
      <c r="O12" s="29"/>
      <c r="P12" s="29"/>
      <c r="Q12" s="29"/>
      <c r="R12" s="29"/>
    </row>
    <row r="13" spans="1:18" s="23" customFormat="1" ht="12.75" customHeight="1" x14ac:dyDescent="0.25">
      <c r="A13" s="172"/>
      <c r="B13" s="39" t="s">
        <v>5</v>
      </c>
      <c r="C13" s="39" t="s">
        <v>6</v>
      </c>
      <c r="D13" s="39"/>
      <c r="E13" s="39"/>
      <c r="F13" s="39"/>
      <c r="G13" s="177"/>
      <c r="H13" s="39"/>
      <c r="I13" s="39"/>
      <c r="J13" s="39"/>
      <c r="K13" s="39"/>
      <c r="L13" s="39"/>
      <c r="M13" s="39"/>
      <c r="N13" s="29"/>
      <c r="O13" s="29"/>
      <c r="P13" s="29"/>
      <c r="Q13" s="29"/>
      <c r="R13" s="29"/>
    </row>
    <row r="14" spans="1:18" s="24" customFormat="1" ht="18.75" customHeight="1" x14ac:dyDescent="0.2">
      <c r="A14" s="173"/>
      <c r="B14" s="66"/>
      <c r="C14" s="66" t="s">
        <v>8</v>
      </c>
      <c r="D14" s="66" t="s">
        <v>9</v>
      </c>
      <c r="E14" s="66" t="s">
        <v>10</v>
      </c>
      <c r="F14" s="66" t="s">
        <v>11</v>
      </c>
      <c r="G14" s="66" t="s">
        <v>12</v>
      </c>
      <c r="H14" s="66" t="s">
        <v>89</v>
      </c>
      <c r="I14" s="66" t="s">
        <v>90</v>
      </c>
      <c r="J14" s="66" t="s">
        <v>15</v>
      </c>
      <c r="K14" s="66" t="s">
        <v>21</v>
      </c>
      <c r="L14" s="66" t="s">
        <v>16</v>
      </c>
      <c r="M14" s="66" t="s">
        <v>17</v>
      </c>
      <c r="N14" s="35"/>
      <c r="O14" s="35"/>
      <c r="P14" s="35"/>
      <c r="Q14" s="35"/>
      <c r="R14" s="35"/>
    </row>
    <row r="15" spans="1:18" s="23" customFormat="1" ht="17.25" customHeight="1" x14ac:dyDescent="0.25">
      <c r="A15" s="174" t="s">
        <v>92</v>
      </c>
      <c r="B15" s="21">
        <f t="shared" ref="B15" si="0">SUM(C15:M15)</f>
        <v>4424655</v>
      </c>
      <c r="C15" s="21">
        <v>216350</v>
      </c>
      <c r="D15" s="21">
        <v>135000</v>
      </c>
      <c r="E15" s="21">
        <v>378584</v>
      </c>
      <c r="F15" s="21">
        <f>2308739+213138</f>
        <v>2521877</v>
      </c>
      <c r="G15" s="21">
        <v>432280</v>
      </c>
      <c r="H15" s="21">
        <v>0</v>
      </c>
      <c r="I15" s="21">
        <v>0</v>
      </c>
      <c r="J15" s="21">
        <v>407055</v>
      </c>
      <c r="K15" s="21">
        <v>77560</v>
      </c>
      <c r="L15" s="21">
        <v>62049</v>
      </c>
      <c r="M15" s="21">
        <v>193900</v>
      </c>
      <c r="N15" s="29"/>
      <c r="O15" s="29"/>
      <c r="P15" s="29"/>
      <c r="Q15" s="29"/>
      <c r="R15" s="29"/>
    </row>
    <row r="16" spans="1:18" x14ac:dyDescent="0.25">
      <c r="A16" s="17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17" t="s">
        <v>27</v>
      </c>
      <c r="B18" s="17"/>
      <c r="C18" s="42">
        <v>45292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17" t="s">
        <v>28</v>
      </c>
      <c r="B19" s="17"/>
      <c r="C19" s="42">
        <v>45962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customFormat="1" ht="12.75" x14ac:dyDescent="0.2">
      <c r="A21" s="43" t="s">
        <v>67</v>
      </c>
      <c r="B21" s="44"/>
      <c r="C21" s="45"/>
      <c r="D21" s="45"/>
      <c r="E21" s="45"/>
      <c r="F21" s="4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customFormat="1" ht="12.75" x14ac:dyDescent="0.2">
      <c r="A22" s="43" t="s">
        <v>68</v>
      </c>
      <c r="B22" s="44"/>
      <c r="C22" s="45"/>
      <c r="D22" s="45"/>
      <c r="E22" s="45"/>
      <c r="F22" s="4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customFormat="1" ht="12.75" x14ac:dyDescent="0.2">
      <c r="A23" s="43" t="s">
        <v>69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customFormat="1" ht="7.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customFormat="1" ht="65.25" customHeight="1" x14ac:dyDescent="0.2">
      <c r="A25" s="46" t="s">
        <v>70</v>
      </c>
      <c r="B25" s="46" t="s">
        <v>71</v>
      </c>
      <c r="C25" s="46" t="s">
        <v>72</v>
      </c>
      <c r="D25" s="46" t="s">
        <v>73</v>
      </c>
      <c r="E25" s="46" t="s">
        <v>74</v>
      </c>
      <c r="F25" s="46" t="s">
        <v>75</v>
      </c>
      <c r="G25" s="46" t="s">
        <v>76</v>
      </c>
      <c r="H25" s="46" t="s">
        <v>77</v>
      </c>
      <c r="I25" s="46" t="s">
        <v>78</v>
      </c>
      <c r="J25" s="46" t="s">
        <v>79</v>
      </c>
      <c r="K25" s="46" t="s">
        <v>80</v>
      </c>
      <c r="L25" s="47" t="s">
        <v>81</v>
      </c>
      <c r="M25" s="46" t="s">
        <v>82</v>
      </c>
      <c r="N25" s="46" t="s">
        <v>83</v>
      </c>
      <c r="O25" s="46" t="s">
        <v>84</v>
      </c>
      <c r="P25" s="46" t="s">
        <v>85</v>
      </c>
      <c r="Q25" s="46" t="s">
        <v>86</v>
      </c>
      <c r="R25" s="46" t="s">
        <v>87</v>
      </c>
    </row>
    <row r="26" spans="1:18" customFormat="1" ht="12.75" x14ac:dyDescent="0.2">
      <c r="A26" s="52">
        <v>45315</v>
      </c>
      <c r="B26" s="53">
        <v>3504.77</v>
      </c>
      <c r="C26" s="53">
        <v>0</v>
      </c>
      <c r="D26" s="54">
        <v>0</v>
      </c>
      <c r="E26" s="54"/>
      <c r="F26" s="54">
        <f t="shared" ref="F26:F47" si="1">SUM(B26:E26)</f>
        <v>3504.77</v>
      </c>
      <c r="G26" s="55">
        <v>0</v>
      </c>
      <c r="H26" s="55"/>
      <c r="I26" s="54">
        <f t="shared" ref="I26:I31" si="2">+F26/2</f>
        <v>1752.385</v>
      </c>
      <c r="J26" s="55">
        <v>0</v>
      </c>
      <c r="K26" s="55">
        <v>0</v>
      </c>
      <c r="L26" s="56">
        <f t="shared" ref="L26:L29" si="3">SUM(G26:K26)</f>
        <v>1752.385</v>
      </c>
      <c r="M26" s="69">
        <v>1.2128749589367172E-3</v>
      </c>
      <c r="N26" s="75">
        <v>6.560190969950995E-3</v>
      </c>
      <c r="O26" s="72">
        <f>ROUND(+M26*L26,2)</f>
        <v>2.13</v>
      </c>
      <c r="P26" s="73">
        <f>ROUND(+N26*L26,2)</f>
        <v>11.5</v>
      </c>
      <c r="Q26" s="49">
        <f>+O26+P26</f>
        <v>13.629999999999999</v>
      </c>
      <c r="R26" s="49">
        <f t="shared" ref="R26:R28" si="4">+F26+G26+K26</f>
        <v>3504.77</v>
      </c>
    </row>
    <row r="27" spans="1:18" customFormat="1" ht="12.75" x14ac:dyDescent="0.2">
      <c r="A27" s="52">
        <v>45346</v>
      </c>
      <c r="B27" s="53">
        <v>11643.87</v>
      </c>
      <c r="C27" s="53">
        <v>0</v>
      </c>
      <c r="D27" s="54">
        <v>0</v>
      </c>
      <c r="E27" s="54"/>
      <c r="F27" s="54">
        <f t="shared" si="1"/>
        <v>11643.87</v>
      </c>
      <c r="G27" s="55">
        <f>+R26</f>
        <v>3504.77</v>
      </c>
      <c r="H27" s="55"/>
      <c r="I27" s="54">
        <f t="shared" si="2"/>
        <v>5821.9350000000004</v>
      </c>
      <c r="J27" s="55">
        <v>0</v>
      </c>
      <c r="K27" s="55">
        <f>+Q26</f>
        <v>13.629999999999999</v>
      </c>
      <c r="L27" s="56">
        <f t="shared" si="3"/>
        <v>9340.3349999999991</v>
      </c>
      <c r="M27" s="69">
        <v>1.2128749589367172E-3</v>
      </c>
      <c r="N27" s="75">
        <v>6.560190969950995E-3</v>
      </c>
      <c r="O27" s="72">
        <f t="shared" ref="O27:O31" si="5">ROUND(+M27*L27,2)</f>
        <v>11.33</v>
      </c>
      <c r="P27" s="73">
        <f t="shared" ref="P27:P31" si="6">ROUND(+N27*L27,2)</f>
        <v>61.27</v>
      </c>
      <c r="Q27" s="49">
        <f t="shared" ref="Q27:Q31" si="7">+O27+P27</f>
        <v>72.600000000000009</v>
      </c>
      <c r="R27" s="49">
        <f t="shared" si="4"/>
        <v>15162.27</v>
      </c>
    </row>
    <row r="28" spans="1:18" customFormat="1" ht="12.75" x14ac:dyDescent="0.2">
      <c r="A28" s="52">
        <v>45375</v>
      </c>
      <c r="B28" s="53">
        <v>61378.36</v>
      </c>
      <c r="C28" s="53">
        <v>0</v>
      </c>
      <c r="D28" s="54">
        <v>0</v>
      </c>
      <c r="E28" s="54"/>
      <c r="F28" s="54">
        <f t="shared" si="1"/>
        <v>61378.36</v>
      </c>
      <c r="G28" s="55">
        <f>+R27</f>
        <v>15162.27</v>
      </c>
      <c r="H28" s="55"/>
      <c r="I28" s="54">
        <f t="shared" si="2"/>
        <v>30689.18</v>
      </c>
      <c r="J28" s="55">
        <v>0</v>
      </c>
      <c r="K28" s="55">
        <f t="shared" ref="K28:K30" si="8">+Q27</f>
        <v>72.600000000000009</v>
      </c>
      <c r="L28" s="56">
        <f t="shared" si="3"/>
        <v>45924.049999999996</v>
      </c>
      <c r="M28" s="69">
        <v>1.2128749589367172E-3</v>
      </c>
      <c r="N28" s="75">
        <v>6.560190969950995E-3</v>
      </c>
      <c r="O28" s="72">
        <f t="shared" si="5"/>
        <v>55.7</v>
      </c>
      <c r="P28" s="73">
        <f t="shared" si="6"/>
        <v>301.27</v>
      </c>
      <c r="Q28" s="49">
        <f t="shared" si="7"/>
        <v>356.96999999999997</v>
      </c>
      <c r="R28" s="49">
        <f t="shared" si="4"/>
        <v>76613.23000000001</v>
      </c>
    </row>
    <row r="29" spans="1:18" customFormat="1" ht="12.75" x14ac:dyDescent="0.2">
      <c r="A29" s="52">
        <v>45406</v>
      </c>
      <c r="B29" s="53">
        <v>0</v>
      </c>
      <c r="C29" s="53">
        <v>0</v>
      </c>
      <c r="D29" s="54">
        <v>0</v>
      </c>
      <c r="E29" s="54" t="s">
        <v>93</v>
      </c>
      <c r="F29" s="54">
        <f t="shared" si="1"/>
        <v>0</v>
      </c>
      <c r="G29" s="55">
        <v>0</v>
      </c>
      <c r="H29" s="55"/>
      <c r="I29" s="54">
        <f t="shared" si="2"/>
        <v>0</v>
      </c>
      <c r="J29" s="55">
        <v>0</v>
      </c>
      <c r="K29" s="55">
        <v>0</v>
      </c>
      <c r="L29" s="56">
        <f t="shared" si="3"/>
        <v>0</v>
      </c>
      <c r="M29" s="69">
        <v>1.2128749589367172E-3</v>
      </c>
      <c r="N29" s="75">
        <v>6.560190969950995E-3</v>
      </c>
      <c r="O29" s="72">
        <f t="shared" si="5"/>
        <v>0</v>
      </c>
      <c r="P29" s="73">
        <f t="shared" si="6"/>
        <v>0</v>
      </c>
      <c r="Q29" s="49">
        <f t="shared" si="7"/>
        <v>0</v>
      </c>
      <c r="R29" s="49">
        <f>+F29+G29+K29</f>
        <v>0</v>
      </c>
    </row>
    <row r="30" spans="1:18" s="22" customFormat="1" ht="12.75" x14ac:dyDescent="0.2">
      <c r="A30" s="52">
        <v>45436</v>
      </c>
      <c r="B30" s="53">
        <v>0</v>
      </c>
      <c r="C30" s="53">
        <v>0</v>
      </c>
      <c r="D30" s="54">
        <v>0</v>
      </c>
      <c r="E30" s="54" t="s">
        <v>93</v>
      </c>
      <c r="F30" s="54">
        <f t="shared" si="1"/>
        <v>0</v>
      </c>
      <c r="G30" s="55">
        <f t="shared" ref="G30:G48" si="9">+R29</f>
        <v>0</v>
      </c>
      <c r="H30" s="55"/>
      <c r="I30" s="54">
        <f t="shared" si="2"/>
        <v>0</v>
      </c>
      <c r="J30" s="55">
        <v>0</v>
      </c>
      <c r="K30" s="55">
        <f t="shared" si="8"/>
        <v>0</v>
      </c>
      <c r="L30" s="56">
        <f>SUM(G30:K30)</f>
        <v>0</v>
      </c>
      <c r="M30" s="69">
        <v>1.2128749589367172E-3</v>
      </c>
      <c r="N30" s="75">
        <v>6.560190969950995E-3</v>
      </c>
      <c r="O30" s="72">
        <f t="shared" si="5"/>
        <v>0</v>
      </c>
      <c r="P30" s="73">
        <f t="shared" si="6"/>
        <v>0</v>
      </c>
      <c r="Q30" s="49">
        <f t="shared" si="7"/>
        <v>0</v>
      </c>
      <c r="R30" s="49">
        <f>+F30+G30+K30</f>
        <v>0</v>
      </c>
    </row>
    <row r="31" spans="1:18" s="22" customFormat="1" ht="12.75" x14ac:dyDescent="0.2">
      <c r="A31" s="52">
        <v>45467</v>
      </c>
      <c r="B31" s="53">
        <v>0</v>
      </c>
      <c r="C31" s="53">
        <v>0</v>
      </c>
      <c r="D31" s="54">
        <v>0</v>
      </c>
      <c r="E31" s="54" t="s">
        <v>93</v>
      </c>
      <c r="F31" s="54">
        <f t="shared" si="1"/>
        <v>0</v>
      </c>
      <c r="G31" s="55">
        <f t="shared" si="9"/>
        <v>0</v>
      </c>
      <c r="H31" s="55">
        <v>0</v>
      </c>
      <c r="I31" s="54">
        <f t="shared" si="2"/>
        <v>0</v>
      </c>
      <c r="J31" s="55">
        <v>0</v>
      </c>
      <c r="K31" s="55">
        <f>+Q30</f>
        <v>0</v>
      </c>
      <c r="L31" s="56">
        <f t="shared" ref="L31" si="10">SUM(G31:K31)</f>
        <v>0</v>
      </c>
      <c r="M31" s="69">
        <v>1.2128749589367172E-3</v>
      </c>
      <c r="N31" s="75">
        <v>6.560190969950995E-3</v>
      </c>
      <c r="O31" s="72">
        <f t="shared" si="5"/>
        <v>0</v>
      </c>
      <c r="P31" s="73">
        <f t="shared" si="6"/>
        <v>0</v>
      </c>
      <c r="Q31" s="49">
        <f t="shared" si="7"/>
        <v>0</v>
      </c>
      <c r="R31" s="49">
        <f t="shared" ref="R31" si="11">+F31+G31+K31</f>
        <v>0</v>
      </c>
    </row>
    <row r="32" spans="1:18" s="22" customFormat="1" ht="12.75" x14ac:dyDescent="0.2">
      <c r="A32" s="52">
        <v>45497</v>
      </c>
      <c r="B32" s="49">
        <v>0</v>
      </c>
      <c r="C32" s="53">
        <v>0</v>
      </c>
      <c r="D32" s="54">
        <v>0</v>
      </c>
      <c r="E32" s="54" t="s">
        <v>93</v>
      </c>
      <c r="F32" s="54">
        <f t="shared" si="1"/>
        <v>0</v>
      </c>
      <c r="G32" s="55">
        <f t="shared" si="9"/>
        <v>0</v>
      </c>
      <c r="H32" s="55">
        <v>0</v>
      </c>
      <c r="I32" s="54">
        <f t="shared" ref="I32:I33" si="12">+F32/2</f>
        <v>0</v>
      </c>
      <c r="J32" s="55">
        <v>0</v>
      </c>
      <c r="K32" s="55">
        <f>+Q31</f>
        <v>0</v>
      </c>
      <c r="L32" s="56">
        <v>0</v>
      </c>
      <c r="M32" s="69">
        <v>1.2128749589367172E-3</v>
      </c>
      <c r="N32" s="75">
        <v>6.560190969950995E-3</v>
      </c>
      <c r="O32" s="72">
        <f t="shared" ref="O32:O33" si="13">ROUND(+M32*L32,2)</f>
        <v>0</v>
      </c>
      <c r="P32" s="73">
        <f t="shared" ref="P32:P33" si="14">ROUND(+N32*L32,2)</f>
        <v>0</v>
      </c>
      <c r="Q32" s="49">
        <f t="shared" ref="Q32:Q33" si="15">+O32+P32</f>
        <v>0</v>
      </c>
      <c r="R32" s="49">
        <f t="shared" ref="R32:R33" si="16">+F32+G32+K32</f>
        <v>0</v>
      </c>
    </row>
    <row r="33" spans="1:18" s="22" customFormat="1" ht="12.75" x14ac:dyDescent="0.2">
      <c r="A33" s="52">
        <v>45528</v>
      </c>
      <c r="B33" s="49">
        <v>0</v>
      </c>
      <c r="C33" s="53">
        <v>0</v>
      </c>
      <c r="D33" s="54">
        <v>0</v>
      </c>
      <c r="E33" s="54" t="s">
        <v>93</v>
      </c>
      <c r="F33" s="54">
        <f t="shared" si="1"/>
        <v>0</v>
      </c>
      <c r="G33" s="55">
        <f t="shared" si="9"/>
        <v>0</v>
      </c>
      <c r="H33" s="55">
        <v>0</v>
      </c>
      <c r="I33" s="54">
        <f t="shared" si="12"/>
        <v>0</v>
      </c>
      <c r="J33" s="55">
        <v>0</v>
      </c>
      <c r="K33" s="55">
        <f t="shared" ref="K33:K41" si="17">+Q32</f>
        <v>0</v>
      </c>
      <c r="L33" s="56">
        <v>0</v>
      </c>
      <c r="M33" s="69">
        <v>1.21287495893672E-3</v>
      </c>
      <c r="N33" s="75">
        <v>6.5601909699509898E-3</v>
      </c>
      <c r="O33" s="72">
        <f t="shared" si="13"/>
        <v>0</v>
      </c>
      <c r="P33" s="73">
        <f t="shared" si="14"/>
        <v>0</v>
      </c>
      <c r="Q33" s="49">
        <f t="shared" si="15"/>
        <v>0</v>
      </c>
      <c r="R33" s="49">
        <f t="shared" si="16"/>
        <v>0</v>
      </c>
    </row>
    <row r="34" spans="1:18" s="22" customFormat="1" ht="12.75" x14ac:dyDescent="0.2">
      <c r="A34" s="52">
        <v>45559</v>
      </c>
      <c r="B34" s="49">
        <v>0</v>
      </c>
      <c r="C34" s="53">
        <v>0</v>
      </c>
      <c r="D34" s="54">
        <v>0</v>
      </c>
      <c r="E34" s="54" t="s">
        <v>93</v>
      </c>
      <c r="F34" s="54">
        <f t="shared" si="1"/>
        <v>0</v>
      </c>
      <c r="G34" s="55">
        <f t="shared" si="9"/>
        <v>0</v>
      </c>
      <c r="H34" s="55">
        <v>0</v>
      </c>
      <c r="I34" s="54">
        <f t="shared" ref="I34:I41" si="18">+F34/2</f>
        <v>0</v>
      </c>
      <c r="J34" s="55">
        <v>0</v>
      </c>
      <c r="K34" s="55">
        <f t="shared" si="17"/>
        <v>0</v>
      </c>
      <c r="L34" s="56">
        <v>0</v>
      </c>
      <c r="M34" s="69">
        <v>1.21287495893672E-3</v>
      </c>
      <c r="N34" s="75">
        <v>6.5601909699509898E-3</v>
      </c>
      <c r="O34" s="72">
        <f t="shared" ref="O34:O41" si="19">ROUND(+M34*L34,2)</f>
        <v>0</v>
      </c>
      <c r="P34" s="73">
        <f t="shared" ref="P34:P41" si="20">ROUND(+N34*L34,2)</f>
        <v>0</v>
      </c>
      <c r="Q34" s="49">
        <f t="shared" ref="Q34:Q41" si="21">+O34+P34</f>
        <v>0</v>
      </c>
      <c r="R34" s="49">
        <f t="shared" ref="R34:R41" si="22">+F34+G34+K34</f>
        <v>0</v>
      </c>
    </row>
    <row r="35" spans="1:18" s="22" customFormat="1" ht="12.75" x14ac:dyDescent="0.2">
      <c r="A35" s="52">
        <v>45589</v>
      </c>
      <c r="B35" s="49">
        <v>0</v>
      </c>
      <c r="C35" s="53">
        <v>0</v>
      </c>
      <c r="D35" s="54">
        <v>0</v>
      </c>
      <c r="E35" s="54" t="s">
        <v>93</v>
      </c>
      <c r="F35" s="54">
        <f t="shared" si="1"/>
        <v>0</v>
      </c>
      <c r="G35" s="55">
        <f t="shared" si="9"/>
        <v>0</v>
      </c>
      <c r="H35" s="55">
        <v>0</v>
      </c>
      <c r="I35" s="54">
        <f t="shared" si="18"/>
        <v>0</v>
      </c>
      <c r="J35" s="55">
        <v>0</v>
      </c>
      <c r="K35" s="55">
        <f t="shared" si="17"/>
        <v>0</v>
      </c>
      <c r="L35" s="56">
        <v>0</v>
      </c>
      <c r="M35" s="69">
        <v>1.21287495893672E-3</v>
      </c>
      <c r="N35" s="75">
        <v>6.5601909699509898E-3</v>
      </c>
      <c r="O35" s="72">
        <f t="shared" si="19"/>
        <v>0</v>
      </c>
      <c r="P35" s="73">
        <f t="shared" si="20"/>
        <v>0</v>
      </c>
      <c r="Q35" s="49">
        <f t="shared" si="21"/>
        <v>0</v>
      </c>
      <c r="R35" s="49">
        <f t="shared" si="22"/>
        <v>0</v>
      </c>
    </row>
    <row r="36" spans="1:18" s="22" customFormat="1" ht="12.75" x14ac:dyDescent="0.2">
      <c r="A36" s="52">
        <v>45620</v>
      </c>
      <c r="B36" s="49">
        <v>0</v>
      </c>
      <c r="C36" s="53">
        <v>0</v>
      </c>
      <c r="D36" s="54">
        <v>0</v>
      </c>
      <c r="E36" s="54" t="s">
        <v>93</v>
      </c>
      <c r="F36" s="54">
        <f t="shared" si="1"/>
        <v>0</v>
      </c>
      <c r="G36" s="55">
        <f t="shared" si="9"/>
        <v>0</v>
      </c>
      <c r="H36" s="55">
        <v>0</v>
      </c>
      <c r="I36" s="54">
        <f t="shared" si="18"/>
        <v>0</v>
      </c>
      <c r="J36" s="55">
        <v>0</v>
      </c>
      <c r="K36" s="55">
        <f t="shared" si="17"/>
        <v>0</v>
      </c>
      <c r="L36" s="56">
        <v>0</v>
      </c>
      <c r="M36" s="69">
        <v>1.21287495893672E-3</v>
      </c>
      <c r="N36" s="75">
        <v>6.5601909699509898E-3</v>
      </c>
      <c r="O36" s="72">
        <f t="shared" si="19"/>
        <v>0</v>
      </c>
      <c r="P36" s="73">
        <f t="shared" si="20"/>
        <v>0</v>
      </c>
      <c r="Q36" s="49">
        <f t="shared" si="21"/>
        <v>0</v>
      </c>
      <c r="R36" s="49">
        <f t="shared" si="22"/>
        <v>0</v>
      </c>
    </row>
    <row r="37" spans="1:18" s="22" customFormat="1" ht="12.75" x14ac:dyDescent="0.2">
      <c r="A37" s="52">
        <v>45650</v>
      </c>
      <c r="B37" s="49">
        <v>0</v>
      </c>
      <c r="C37" s="53">
        <v>0</v>
      </c>
      <c r="D37" s="54">
        <v>0</v>
      </c>
      <c r="E37" s="54" t="s">
        <v>93</v>
      </c>
      <c r="F37" s="54">
        <f t="shared" si="1"/>
        <v>0</v>
      </c>
      <c r="G37" s="55">
        <f t="shared" si="9"/>
        <v>0</v>
      </c>
      <c r="H37" s="55">
        <v>0</v>
      </c>
      <c r="I37" s="54">
        <f t="shared" si="18"/>
        <v>0</v>
      </c>
      <c r="J37" s="55">
        <v>0</v>
      </c>
      <c r="K37" s="55">
        <f t="shared" si="17"/>
        <v>0</v>
      </c>
      <c r="L37" s="56">
        <v>0</v>
      </c>
      <c r="M37" s="69">
        <v>1.21287495893672E-3</v>
      </c>
      <c r="N37" s="75">
        <v>6.5601909699509898E-3</v>
      </c>
      <c r="O37" s="72">
        <f t="shared" si="19"/>
        <v>0</v>
      </c>
      <c r="P37" s="73">
        <f t="shared" si="20"/>
        <v>0</v>
      </c>
      <c r="Q37" s="49">
        <f t="shared" si="21"/>
        <v>0</v>
      </c>
      <c r="R37" s="49">
        <f t="shared" si="22"/>
        <v>0</v>
      </c>
    </row>
    <row r="38" spans="1:18" s="22" customFormat="1" ht="12.75" x14ac:dyDescent="0.2">
      <c r="A38" s="52">
        <v>45681</v>
      </c>
      <c r="B38" s="49">
        <v>0</v>
      </c>
      <c r="C38" s="53">
        <v>0</v>
      </c>
      <c r="D38" s="54">
        <v>0</v>
      </c>
      <c r="E38" s="54" t="s">
        <v>93</v>
      </c>
      <c r="F38" s="54">
        <f t="shared" si="1"/>
        <v>0</v>
      </c>
      <c r="G38" s="55">
        <f>+R28</f>
        <v>76613.23000000001</v>
      </c>
      <c r="H38" s="55">
        <v>0</v>
      </c>
      <c r="I38" s="54">
        <f t="shared" si="18"/>
        <v>0</v>
      </c>
      <c r="J38" s="55">
        <v>0</v>
      </c>
      <c r="K38" s="55">
        <f t="shared" si="17"/>
        <v>0</v>
      </c>
      <c r="L38" s="56">
        <f t="shared" ref="L38" si="23">SUM(G38:K38)</f>
        <v>76613.23000000001</v>
      </c>
      <c r="M38" s="69">
        <v>1.21287495893672E-3</v>
      </c>
      <c r="N38" s="75">
        <v>6.5601909699509898E-3</v>
      </c>
      <c r="O38" s="72">
        <f t="shared" si="19"/>
        <v>92.92</v>
      </c>
      <c r="P38" s="73">
        <f t="shared" si="20"/>
        <v>502.6</v>
      </c>
      <c r="Q38" s="49">
        <f t="shared" si="21"/>
        <v>595.52</v>
      </c>
      <c r="R38" s="49">
        <f t="shared" si="22"/>
        <v>76613.23000000001</v>
      </c>
    </row>
    <row r="39" spans="1:18" s="22" customFormat="1" ht="12.75" x14ac:dyDescent="0.2">
      <c r="A39" s="52">
        <v>45712</v>
      </c>
      <c r="B39" s="49">
        <v>50000</v>
      </c>
      <c r="C39" s="53">
        <v>-20000</v>
      </c>
      <c r="D39" s="54">
        <v>0</v>
      </c>
      <c r="E39" s="54"/>
      <c r="F39" s="54">
        <f t="shared" si="1"/>
        <v>30000</v>
      </c>
      <c r="G39" s="55">
        <f t="shared" si="9"/>
        <v>76613.23000000001</v>
      </c>
      <c r="H39" s="55">
        <v>0</v>
      </c>
      <c r="I39" s="54">
        <f t="shared" si="18"/>
        <v>15000</v>
      </c>
      <c r="J39" s="55">
        <v>0</v>
      </c>
      <c r="K39" s="55">
        <f t="shared" si="17"/>
        <v>595.52</v>
      </c>
      <c r="L39" s="56">
        <f>SUM(G39:K39)</f>
        <v>92208.750000000015</v>
      </c>
      <c r="M39" s="69">
        <v>1.21287495893672E-3</v>
      </c>
      <c r="N39" s="75">
        <v>6.5601909699509898E-3</v>
      </c>
      <c r="O39" s="72">
        <f t="shared" si="19"/>
        <v>111.84</v>
      </c>
      <c r="P39" s="73">
        <f t="shared" si="20"/>
        <v>604.91</v>
      </c>
      <c r="Q39" s="49">
        <f t="shared" si="21"/>
        <v>716.75</v>
      </c>
      <c r="R39" s="49">
        <f t="shared" si="22"/>
        <v>107208.75000000001</v>
      </c>
    </row>
    <row r="40" spans="1:18" s="22" customFormat="1" ht="12.75" x14ac:dyDescent="0.2">
      <c r="A40" s="52">
        <v>45740</v>
      </c>
      <c r="B40" s="49">
        <v>50000</v>
      </c>
      <c r="C40" s="53">
        <v>-20000</v>
      </c>
      <c r="D40" s="54">
        <v>0</v>
      </c>
      <c r="E40" s="54"/>
      <c r="F40" s="54">
        <f t="shared" si="1"/>
        <v>30000</v>
      </c>
      <c r="G40" s="55">
        <f t="shared" si="9"/>
        <v>107208.75000000001</v>
      </c>
      <c r="H40" s="55">
        <v>0</v>
      </c>
      <c r="I40" s="54">
        <f t="shared" si="18"/>
        <v>15000</v>
      </c>
      <c r="J40" s="55">
        <v>0</v>
      </c>
      <c r="K40" s="55">
        <f t="shared" si="17"/>
        <v>716.75</v>
      </c>
      <c r="L40" s="56">
        <f t="shared" ref="L40:L41" si="24">SUM(G40:K40)</f>
        <v>122925.50000000001</v>
      </c>
      <c r="M40" s="69">
        <v>1.21287495893672E-3</v>
      </c>
      <c r="N40" s="75">
        <v>6.5601909699509898E-3</v>
      </c>
      <c r="O40" s="72">
        <f t="shared" si="19"/>
        <v>149.09</v>
      </c>
      <c r="P40" s="73">
        <f t="shared" si="20"/>
        <v>806.41</v>
      </c>
      <c r="Q40" s="49">
        <f t="shared" si="21"/>
        <v>955.5</v>
      </c>
      <c r="R40" s="49">
        <f t="shared" si="22"/>
        <v>137925.5</v>
      </c>
    </row>
    <row r="41" spans="1:18" s="22" customFormat="1" ht="12.75" x14ac:dyDescent="0.2">
      <c r="A41" s="52">
        <v>45771</v>
      </c>
      <c r="B41" s="49">
        <v>55000</v>
      </c>
      <c r="C41" s="53">
        <v>-20000</v>
      </c>
      <c r="D41" s="54">
        <v>0</v>
      </c>
      <c r="E41" s="54"/>
      <c r="F41" s="54">
        <f t="shared" si="1"/>
        <v>35000</v>
      </c>
      <c r="G41" s="55">
        <f t="shared" si="9"/>
        <v>137925.5</v>
      </c>
      <c r="H41" s="55">
        <v>0</v>
      </c>
      <c r="I41" s="54">
        <f t="shared" si="18"/>
        <v>17500</v>
      </c>
      <c r="J41" s="55">
        <v>0</v>
      </c>
      <c r="K41" s="55">
        <f t="shared" si="17"/>
        <v>955.5</v>
      </c>
      <c r="L41" s="56">
        <f t="shared" si="24"/>
        <v>156381</v>
      </c>
      <c r="M41" s="69">
        <v>1.21287495893672E-3</v>
      </c>
      <c r="N41" s="75">
        <v>6.5601909699509898E-3</v>
      </c>
      <c r="O41" s="72">
        <f t="shared" si="19"/>
        <v>189.67</v>
      </c>
      <c r="P41" s="73">
        <f t="shared" si="20"/>
        <v>1025.8900000000001</v>
      </c>
      <c r="Q41" s="49">
        <f t="shared" si="21"/>
        <v>1215.5600000000002</v>
      </c>
      <c r="R41" s="49">
        <f t="shared" si="22"/>
        <v>173881</v>
      </c>
    </row>
    <row r="42" spans="1:18" s="22" customFormat="1" ht="12.75" x14ac:dyDescent="0.2">
      <c r="A42" s="52">
        <v>45801</v>
      </c>
      <c r="B42" s="49">
        <v>71500</v>
      </c>
      <c r="C42" s="53">
        <v>-40000</v>
      </c>
      <c r="D42" s="54">
        <v>0</v>
      </c>
      <c r="E42" s="54"/>
      <c r="F42" s="54">
        <f t="shared" si="1"/>
        <v>31500</v>
      </c>
      <c r="G42" s="55">
        <f t="shared" si="9"/>
        <v>173881</v>
      </c>
      <c r="H42" s="55">
        <v>0</v>
      </c>
      <c r="I42" s="54">
        <f t="shared" ref="I42:I48" si="25">+F42/2</f>
        <v>15750</v>
      </c>
      <c r="J42" s="55">
        <v>0</v>
      </c>
      <c r="K42" s="55">
        <f t="shared" ref="K42:K47" si="26">+Q41</f>
        <v>1215.5600000000002</v>
      </c>
      <c r="L42" s="56">
        <f t="shared" ref="L42:L48" si="27">SUM(G42:K42)</f>
        <v>190846.56</v>
      </c>
      <c r="M42" s="69">
        <v>1.21287495893672E-3</v>
      </c>
      <c r="N42" s="75">
        <v>6.5601909699509898E-3</v>
      </c>
      <c r="O42" s="72">
        <f t="shared" ref="O42:O48" si="28">ROUND(+M42*L42,2)</f>
        <v>231.47</v>
      </c>
      <c r="P42" s="73">
        <f t="shared" ref="P42:P48" si="29">ROUND(+N42*L42,2)</f>
        <v>1251.99</v>
      </c>
      <c r="Q42" s="49">
        <f t="shared" ref="Q42:Q48" si="30">+O42+P42</f>
        <v>1483.46</v>
      </c>
      <c r="R42" s="49">
        <f t="shared" ref="R42:R48" si="31">+F42+G42+K42</f>
        <v>206596.56</v>
      </c>
    </row>
    <row r="43" spans="1:18" s="22" customFormat="1" ht="12.75" x14ac:dyDescent="0.2">
      <c r="A43" s="52">
        <v>45832</v>
      </c>
      <c r="B43" s="49">
        <v>100000</v>
      </c>
      <c r="C43" s="53">
        <v>-50000</v>
      </c>
      <c r="D43" s="54">
        <v>0</v>
      </c>
      <c r="E43" s="54"/>
      <c r="F43" s="54">
        <f t="shared" si="1"/>
        <v>50000</v>
      </c>
      <c r="G43" s="55">
        <f t="shared" si="9"/>
        <v>206596.56</v>
      </c>
      <c r="H43" s="55">
        <v>0</v>
      </c>
      <c r="I43" s="54">
        <f t="shared" si="25"/>
        <v>25000</v>
      </c>
      <c r="J43" s="55">
        <v>0</v>
      </c>
      <c r="K43" s="55">
        <f t="shared" si="26"/>
        <v>1483.46</v>
      </c>
      <c r="L43" s="56">
        <f t="shared" si="27"/>
        <v>233080.02</v>
      </c>
      <c r="M43" s="69">
        <v>1.21287495893672E-3</v>
      </c>
      <c r="N43" s="75">
        <v>6.5601909699509898E-3</v>
      </c>
      <c r="O43" s="72">
        <f t="shared" si="28"/>
        <v>282.7</v>
      </c>
      <c r="P43" s="73">
        <f t="shared" si="29"/>
        <v>1529.05</v>
      </c>
      <c r="Q43" s="49">
        <f t="shared" si="30"/>
        <v>1811.75</v>
      </c>
      <c r="R43" s="49">
        <f t="shared" si="31"/>
        <v>258080.02</v>
      </c>
    </row>
    <row r="44" spans="1:18" s="22" customFormat="1" ht="12.75" x14ac:dyDescent="0.2">
      <c r="A44" s="52">
        <v>45862</v>
      </c>
      <c r="B44" s="49">
        <v>125000</v>
      </c>
      <c r="C44" s="53">
        <v>-66350</v>
      </c>
      <c r="D44" s="54">
        <v>0</v>
      </c>
      <c r="E44" s="54"/>
      <c r="F44" s="54">
        <f t="shared" si="1"/>
        <v>58650</v>
      </c>
      <c r="G44" s="55">
        <f t="shared" si="9"/>
        <v>258080.02</v>
      </c>
      <c r="H44" s="55">
        <v>0</v>
      </c>
      <c r="I44" s="54">
        <f t="shared" si="25"/>
        <v>29325</v>
      </c>
      <c r="J44" s="55">
        <v>0</v>
      </c>
      <c r="K44" s="55">
        <f t="shared" si="26"/>
        <v>1811.75</v>
      </c>
      <c r="L44" s="56">
        <f t="shared" si="27"/>
        <v>289216.77</v>
      </c>
      <c r="M44" s="69">
        <v>1.21287495893672E-3</v>
      </c>
      <c r="N44" s="75">
        <v>6.5601909699509898E-3</v>
      </c>
      <c r="O44" s="72">
        <f t="shared" si="28"/>
        <v>350.78</v>
      </c>
      <c r="P44" s="73">
        <f t="shared" si="29"/>
        <v>1897.32</v>
      </c>
      <c r="Q44" s="49">
        <f t="shared" si="30"/>
        <v>2248.1</v>
      </c>
      <c r="R44" s="49">
        <f t="shared" si="31"/>
        <v>318541.77</v>
      </c>
    </row>
    <row r="45" spans="1:18" s="22" customFormat="1" ht="12.75" x14ac:dyDescent="0.2">
      <c r="A45" s="52">
        <v>45893</v>
      </c>
      <c r="B45" s="49">
        <v>150000</v>
      </c>
      <c r="C45" s="53">
        <v>0</v>
      </c>
      <c r="D45" s="54">
        <v>0</v>
      </c>
      <c r="E45" s="54"/>
      <c r="F45" s="54">
        <f t="shared" si="1"/>
        <v>150000</v>
      </c>
      <c r="G45" s="55">
        <f t="shared" si="9"/>
        <v>318541.77</v>
      </c>
      <c r="H45" s="55">
        <v>0</v>
      </c>
      <c r="I45" s="54">
        <f t="shared" si="25"/>
        <v>75000</v>
      </c>
      <c r="J45" s="55">
        <v>0</v>
      </c>
      <c r="K45" s="55">
        <f t="shared" si="26"/>
        <v>2248.1</v>
      </c>
      <c r="L45" s="56">
        <f t="shared" si="27"/>
        <v>395789.87</v>
      </c>
      <c r="M45" s="69">
        <v>1.21287495893672E-3</v>
      </c>
      <c r="N45" s="75">
        <v>6.5601909699509898E-3</v>
      </c>
      <c r="O45" s="72">
        <f t="shared" si="28"/>
        <v>480.04</v>
      </c>
      <c r="P45" s="73">
        <f t="shared" si="29"/>
        <v>2596.46</v>
      </c>
      <c r="Q45" s="49">
        <f t="shared" si="30"/>
        <v>3076.5</v>
      </c>
      <c r="R45" s="49">
        <f t="shared" si="31"/>
        <v>470789.87</v>
      </c>
    </row>
    <row r="46" spans="1:18" s="22" customFormat="1" ht="12.75" x14ac:dyDescent="0.2">
      <c r="A46" s="52">
        <v>45924</v>
      </c>
      <c r="B46" s="49">
        <v>175000</v>
      </c>
      <c r="C46" s="53">
        <v>0</v>
      </c>
      <c r="D46" s="54">
        <v>0</v>
      </c>
      <c r="E46" s="54"/>
      <c r="F46" s="54">
        <f t="shared" si="1"/>
        <v>175000</v>
      </c>
      <c r="G46" s="55">
        <f t="shared" si="9"/>
        <v>470789.87</v>
      </c>
      <c r="H46" s="55">
        <v>0</v>
      </c>
      <c r="I46" s="54">
        <f t="shared" si="25"/>
        <v>87500</v>
      </c>
      <c r="J46" s="55">
        <v>0</v>
      </c>
      <c r="K46" s="55">
        <f t="shared" si="26"/>
        <v>3076.5</v>
      </c>
      <c r="L46" s="56">
        <f t="shared" si="27"/>
        <v>561366.37</v>
      </c>
      <c r="M46" s="69">
        <v>1.21287495893672E-3</v>
      </c>
      <c r="N46" s="75">
        <v>6.5601909699509898E-3</v>
      </c>
      <c r="O46" s="72">
        <f t="shared" si="28"/>
        <v>680.87</v>
      </c>
      <c r="P46" s="73">
        <f t="shared" si="29"/>
        <v>3682.67</v>
      </c>
      <c r="Q46" s="49">
        <f t="shared" si="30"/>
        <v>4363.54</v>
      </c>
      <c r="R46" s="49">
        <f t="shared" si="31"/>
        <v>648866.37</v>
      </c>
    </row>
    <row r="47" spans="1:18" s="22" customFormat="1" ht="12.75" x14ac:dyDescent="0.2">
      <c r="A47" s="52">
        <v>45954</v>
      </c>
      <c r="B47" s="49">
        <f>2032900-152641</f>
        <v>1880259</v>
      </c>
      <c r="C47" s="53">
        <v>0</v>
      </c>
      <c r="D47" s="54">
        <v>0</v>
      </c>
      <c r="E47" s="54"/>
      <c r="F47" s="54">
        <f t="shared" si="1"/>
        <v>1880259</v>
      </c>
      <c r="G47" s="55">
        <f t="shared" si="9"/>
        <v>648866.37</v>
      </c>
      <c r="H47" s="55">
        <v>0</v>
      </c>
      <c r="I47" s="54">
        <f t="shared" si="25"/>
        <v>940129.5</v>
      </c>
      <c r="J47" s="55">
        <v>0</v>
      </c>
      <c r="K47" s="55">
        <f t="shared" si="26"/>
        <v>4363.54</v>
      </c>
      <c r="L47" s="56">
        <f t="shared" si="27"/>
        <v>1593359.4100000001</v>
      </c>
      <c r="M47" s="69">
        <v>1.21287495893672E-3</v>
      </c>
      <c r="N47" s="75">
        <v>6.5601909699509898E-3</v>
      </c>
      <c r="O47" s="72">
        <f t="shared" si="28"/>
        <v>1932.55</v>
      </c>
      <c r="P47" s="73">
        <f t="shared" si="29"/>
        <v>10452.74</v>
      </c>
      <c r="Q47" s="49">
        <f t="shared" si="30"/>
        <v>12385.289999999999</v>
      </c>
      <c r="R47" s="49">
        <f t="shared" si="31"/>
        <v>2533488.91</v>
      </c>
    </row>
    <row r="48" spans="1:18" s="22" customFormat="1" ht="12.75" x14ac:dyDescent="0.2">
      <c r="A48" s="52">
        <v>45985</v>
      </c>
      <c r="B48" s="49">
        <f>1476679+152600+41</f>
        <v>1629320</v>
      </c>
      <c r="C48" s="53">
        <v>0</v>
      </c>
      <c r="D48" s="54">
        <v>0</v>
      </c>
      <c r="E48" s="54"/>
      <c r="F48" s="54">
        <f>SUM(B48:E48)</f>
        <v>1629320</v>
      </c>
      <c r="G48" s="55">
        <f t="shared" si="9"/>
        <v>2533488.91</v>
      </c>
      <c r="H48" s="55">
        <f>+G48/2</f>
        <v>1266744.4550000001</v>
      </c>
      <c r="I48" s="54">
        <f t="shared" si="25"/>
        <v>814660</v>
      </c>
      <c r="J48" s="55">
        <f>-I48/2</f>
        <v>-407330</v>
      </c>
      <c r="K48" s="55">
        <f>+Q47/2</f>
        <v>6192.6449999999995</v>
      </c>
      <c r="L48" s="56">
        <f t="shared" si="27"/>
        <v>4213756.01</v>
      </c>
      <c r="M48" s="69">
        <v>1.21287495893672E-3</v>
      </c>
      <c r="N48" s="75">
        <v>6.5601909699509898E-3</v>
      </c>
      <c r="O48" s="72">
        <f t="shared" si="28"/>
        <v>5110.76</v>
      </c>
      <c r="P48" s="73">
        <f t="shared" si="29"/>
        <v>27643.040000000001</v>
      </c>
      <c r="Q48" s="49">
        <f t="shared" si="30"/>
        <v>32753.800000000003</v>
      </c>
      <c r="R48" s="49">
        <f t="shared" si="31"/>
        <v>4169001.5550000002</v>
      </c>
    </row>
    <row r="49" spans="1:19" s="22" customFormat="1" ht="12.75" x14ac:dyDescent="0.2">
      <c r="A49" s="52"/>
      <c r="B49" s="71">
        <f>SUM(B26:B48)</f>
        <v>4362606</v>
      </c>
      <c r="C49" s="71">
        <f>SUM(C26:C48)</f>
        <v>-216350</v>
      </c>
      <c r="D49" s="17"/>
      <c r="E49" s="17"/>
      <c r="F49" s="49"/>
      <c r="G49" s="17"/>
      <c r="H49" s="17"/>
      <c r="I49" s="17"/>
      <c r="J49" s="17"/>
      <c r="K49" s="17"/>
      <c r="L49" s="17"/>
      <c r="M49" s="17"/>
      <c r="N49" s="17"/>
      <c r="O49" s="74"/>
      <c r="P49" s="74"/>
      <c r="Q49" s="71">
        <f>SUM(Q26:Q48)</f>
        <v>62048.97</v>
      </c>
      <c r="R49" s="17"/>
    </row>
    <row r="50" spans="1:19" s="22" customFormat="1" ht="12.75" x14ac:dyDescent="0.2">
      <c r="A50" s="52"/>
      <c r="B50" s="4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49"/>
      <c r="S50" s="17"/>
    </row>
    <row r="51" spans="1:19" s="22" customFormat="1" ht="12.75" x14ac:dyDescent="0.2">
      <c r="A51" s="52"/>
      <c r="B51" s="49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49"/>
      <c r="S51" s="17"/>
    </row>
    <row r="52" spans="1:19" s="22" customFormat="1" ht="12.75" x14ac:dyDescent="0.2">
      <c r="A52" s="52"/>
      <c r="B52" s="49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9"/>
      <c r="S52" s="17"/>
    </row>
    <row r="53" spans="1:19" s="22" customFormat="1" ht="12.7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s="22" customFormat="1" ht="12.75" x14ac:dyDescent="0.2">
      <c r="A54" s="50" t="s">
        <v>88</v>
      </c>
      <c r="B54" s="49">
        <f>SUM(B26:B48)</f>
        <v>4362606</v>
      </c>
      <c r="C54" s="76"/>
      <c r="D54" s="49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 s="22" customFormat="1" ht="12.75" x14ac:dyDescent="0.2">
      <c r="A55" s="50" t="s">
        <v>86</v>
      </c>
      <c r="B55" s="49">
        <f>+Q49</f>
        <v>62048.97</v>
      </c>
      <c r="C55" s="76"/>
      <c r="D55" s="16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s="22" customFormat="1" ht="13.5" thickBot="1" x14ac:dyDescent="0.25">
      <c r="A56" s="50" t="s">
        <v>5</v>
      </c>
      <c r="B56" s="51">
        <f>SUM(B54:B55)</f>
        <v>4424654.97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 s="22" customFormat="1" ht="12.75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1:1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9" x14ac:dyDescent="0.25">
      <c r="A59" s="17"/>
      <c r="B59" s="17" t="s">
        <v>102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</sheetData>
  <mergeCells count="3">
    <mergeCell ref="A12:A14"/>
    <mergeCell ref="A15:A16"/>
    <mergeCell ref="G12:G1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B7D5-5869-41E3-9C31-2C407C38ED78}">
  <sheetPr>
    <pageSetUpPr fitToPage="1"/>
  </sheetPr>
  <dimension ref="A1:R33"/>
  <sheetViews>
    <sheetView topLeftCell="A17" workbookViewId="0"/>
  </sheetViews>
  <sheetFormatPr defaultColWidth="9.140625" defaultRowHeight="12.75" x14ac:dyDescent="0.2"/>
  <cols>
    <col min="1" max="1" width="18" style="22" customWidth="1"/>
    <col min="2" max="2" width="13" style="22" customWidth="1"/>
    <col min="3" max="3" width="12.85546875" style="22" customWidth="1"/>
    <col min="4" max="4" width="11.28515625" style="22" customWidth="1"/>
    <col min="5" max="5" width="7.28515625" style="22" customWidth="1"/>
    <col min="6" max="6" width="9" style="22" customWidth="1"/>
    <col min="7" max="7" width="13" style="22" customWidth="1"/>
    <col min="8" max="8" width="12.42578125" style="22" customWidth="1"/>
    <col min="9" max="9" width="13.5703125" style="22" customWidth="1"/>
    <col min="10" max="10" width="11.85546875" style="22" customWidth="1"/>
    <col min="11" max="11" width="13.140625" style="22" customWidth="1"/>
    <col min="12" max="12" width="10.28515625" style="22" customWidth="1"/>
    <col min="13" max="13" width="11.42578125" style="22" customWidth="1"/>
    <col min="14" max="14" width="12.42578125" style="22" customWidth="1"/>
    <col min="15" max="15" width="9" style="22" customWidth="1"/>
    <col min="16" max="16" width="9.140625" style="22"/>
    <col min="17" max="17" width="7.7109375" style="22" customWidth="1"/>
    <col min="18" max="18" width="10.5703125" style="22" customWidth="1"/>
    <col min="19" max="19" width="10.7109375" style="22" customWidth="1"/>
    <col min="20" max="16384" width="9.140625" style="22"/>
  </cols>
  <sheetData>
    <row r="1" spans="1:18" x14ac:dyDescent="0.2">
      <c r="A1" s="22" t="s">
        <v>101</v>
      </c>
    </row>
    <row r="3" spans="1:18" s="26" customFormat="1" x14ac:dyDescent="0.2">
      <c r="A3" s="28" t="s">
        <v>0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29"/>
      <c r="M3" s="29"/>
      <c r="N3" s="29"/>
      <c r="O3" s="29"/>
      <c r="P3" s="29"/>
      <c r="Q3" s="29"/>
      <c r="R3" s="29"/>
    </row>
    <row r="4" spans="1:18" s="26" customFormat="1" ht="16.5" customHeight="1" x14ac:dyDescent="0.2">
      <c r="A4" s="31" t="s">
        <v>32</v>
      </c>
      <c r="B4" s="29"/>
      <c r="C4" s="29"/>
      <c r="D4" s="30"/>
      <c r="E4" s="30"/>
      <c r="F4" s="30"/>
      <c r="G4" s="30"/>
      <c r="H4" s="30"/>
      <c r="I4" s="30"/>
      <c r="J4" s="30"/>
      <c r="K4" s="29"/>
      <c r="L4" s="29"/>
      <c r="M4" s="30"/>
      <c r="N4" s="29"/>
      <c r="O4" s="29"/>
      <c r="P4" s="29"/>
      <c r="Q4" s="29"/>
      <c r="R4" s="29"/>
    </row>
    <row r="5" spans="1:18" s="26" customFormat="1" x14ac:dyDescent="0.2">
      <c r="A5" s="29" t="s">
        <v>34</v>
      </c>
      <c r="B5" s="32"/>
      <c r="C5" s="33"/>
      <c r="D5" s="30"/>
      <c r="E5" s="30"/>
      <c r="F5" s="30"/>
      <c r="G5" s="30"/>
      <c r="H5" s="30"/>
      <c r="I5" s="30"/>
      <c r="J5" s="30"/>
      <c r="K5" s="30"/>
      <c r="L5" s="29"/>
      <c r="M5" s="30"/>
      <c r="N5" s="29"/>
      <c r="O5" s="29"/>
      <c r="P5" s="29"/>
      <c r="Q5" s="29"/>
      <c r="R5" s="34" t="s">
        <v>2</v>
      </c>
    </row>
    <row r="6" spans="1:18" s="26" customFormat="1" x14ac:dyDescent="0.2">
      <c r="A6" s="29"/>
      <c r="B6" s="32"/>
      <c r="C6" s="33"/>
      <c r="D6" s="30"/>
      <c r="E6" s="30"/>
      <c r="F6" s="30"/>
      <c r="G6" s="30"/>
      <c r="H6" s="30"/>
      <c r="I6" s="30"/>
      <c r="J6" s="30"/>
      <c r="K6" s="30"/>
      <c r="L6" s="29"/>
      <c r="M6" s="30"/>
      <c r="N6" s="34"/>
      <c r="O6" s="29"/>
      <c r="P6" s="29"/>
      <c r="Q6" s="29"/>
      <c r="R6" s="29"/>
    </row>
    <row r="7" spans="1:18" s="26" customFormat="1" x14ac:dyDescent="0.2">
      <c r="A7" s="31" t="s">
        <v>1</v>
      </c>
      <c r="B7" s="29"/>
      <c r="C7" s="33"/>
      <c r="D7" s="30"/>
      <c r="E7" s="30"/>
      <c r="F7" s="30"/>
      <c r="G7" s="30"/>
      <c r="H7" s="30"/>
      <c r="I7" s="30"/>
      <c r="J7" s="30"/>
      <c r="K7" s="30"/>
      <c r="L7" s="29"/>
      <c r="M7" s="30"/>
      <c r="N7" s="34"/>
      <c r="O7" s="29"/>
      <c r="P7" s="29"/>
      <c r="Q7" s="29"/>
      <c r="R7" s="29"/>
    </row>
    <row r="8" spans="1:18" s="25" customFormat="1" ht="24" customHeight="1" x14ac:dyDescent="0.2">
      <c r="A8" s="27" t="s">
        <v>26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5"/>
      <c r="N8" s="36"/>
      <c r="O8" s="35"/>
      <c r="P8" s="35"/>
      <c r="Q8" s="35"/>
      <c r="R8" s="35"/>
    </row>
    <row r="9" spans="1:18" s="26" customFormat="1" ht="23.25" customHeight="1" x14ac:dyDescent="0.2">
      <c r="A9" s="171" t="s">
        <v>33</v>
      </c>
      <c r="B9" s="37"/>
      <c r="C9" s="38"/>
      <c r="D9" s="38"/>
      <c r="E9" s="38"/>
      <c r="F9" s="38"/>
      <c r="G9" s="63"/>
      <c r="H9" s="38"/>
      <c r="I9" s="64"/>
      <c r="J9" s="70"/>
      <c r="K9" s="38"/>
      <c r="L9" s="38"/>
      <c r="M9" s="38"/>
      <c r="N9" s="38"/>
      <c r="O9" s="29"/>
      <c r="P9" s="29"/>
      <c r="Q9" s="29"/>
      <c r="R9" s="29"/>
    </row>
    <row r="10" spans="1:18" s="25" customFormat="1" ht="23.25" customHeight="1" x14ac:dyDescent="0.2">
      <c r="A10" s="172"/>
      <c r="B10" s="61" t="s">
        <v>4</v>
      </c>
      <c r="C10" s="62" t="s">
        <v>5</v>
      </c>
      <c r="D10" s="62" t="s">
        <v>6</v>
      </c>
      <c r="E10" s="62"/>
      <c r="F10" s="62"/>
      <c r="G10" s="62"/>
      <c r="H10" s="65" t="s">
        <v>7</v>
      </c>
      <c r="I10" s="62"/>
      <c r="J10" s="62"/>
      <c r="K10" s="62"/>
      <c r="L10" s="62"/>
      <c r="M10" s="62"/>
      <c r="N10" s="62"/>
      <c r="O10" s="35"/>
      <c r="P10" s="35"/>
      <c r="Q10" s="35"/>
      <c r="R10" s="35"/>
    </row>
    <row r="11" spans="1:18" s="26" customFormat="1" ht="23.25" customHeight="1" x14ac:dyDescent="0.2">
      <c r="A11" s="173"/>
      <c r="B11" s="40"/>
      <c r="C11" s="41"/>
      <c r="D11" s="66" t="s">
        <v>8</v>
      </c>
      <c r="E11" s="66" t="s">
        <v>9</v>
      </c>
      <c r="F11" s="66" t="s">
        <v>10</v>
      </c>
      <c r="G11" s="66" t="s">
        <v>11</v>
      </c>
      <c r="H11" s="66" t="s">
        <v>12</v>
      </c>
      <c r="I11" s="66" t="s">
        <v>89</v>
      </c>
      <c r="J11" s="66" t="s">
        <v>90</v>
      </c>
      <c r="K11" s="66" t="s">
        <v>15</v>
      </c>
      <c r="L11" s="66" t="s">
        <v>21</v>
      </c>
      <c r="M11" s="66" t="s">
        <v>16</v>
      </c>
      <c r="N11" s="66" t="s">
        <v>17</v>
      </c>
      <c r="O11" s="29"/>
      <c r="P11" s="29"/>
      <c r="Q11" s="29"/>
      <c r="R11" s="29"/>
    </row>
    <row r="12" spans="1:18" s="26" customFormat="1" ht="23.25" customHeight="1" x14ac:dyDescent="0.2">
      <c r="A12" s="67" t="s">
        <v>29</v>
      </c>
      <c r="B12" s="68"/>
      <c r="C12" s="21">
        <f>SUM(D12:N12)</f>
        <v>146035</v>
      </c>
      <c r="D12" s="21">
        <v>0</v>
      </c>
      <c r="E12" s="21">
        <v>1000</v>
      </c>
      <c r="F12" s="21">
        <v>56000</v>
      </c>
      <c r="G12" s="21">
        <f>46000+7035</f>
        <v>53035</v>
      </c>
      <c r="H12" s="21">
        <v>30000</v>
      </c>
      <c r="I12" s="21">
        <v>0</v>
      </c>
      <c r="J12" s="21">
        <v>0</v>
      </c>
      <c r="K12" s="21">
        <v>0</v>
      </c>
      <c r="L12" s="21">
        <v>3000</v>
      </c>
      <c r="M12" s="21">
        <v>3000</v>
      </c>
      <c r="N12" s="21">
        <v>0</v>
      </c>
      <c r="O12" s="29"/>
      <c r="P12" s="29"/>
      <c r="Q12" s="29"/>
      <c r="R12" s="29"/>
    </row>
    <row r="13" spans="1:18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">
      <c r="A14" s="17" t="s">
        <v>27</v>
      </c>
      <c r="C14" s="42">
        <v>45809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">
      <c r="A15" s="17" t="s">
        <v>28</v>
      </c>
      <c r="C15" s="42">
        <v>45962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customFormat="1" x14ac:dyDescent="0.2">
      <c r="A17" s="43" t="s">
        <v>67</v>
      </c>
      <c r="B17" s="44"/>
      <c r="C17" s="45"/>
      <c r="D17" s="45"/>
      <c r="E17" s="45"/>
      <c r="F17" s="4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customFormat="1" x14ac:dyDescent="0.2">
      <c r="A18" s="43" t="s">
        <v>68</v>
      </c>
      <c r="B18" s="44"/>
      <c r="C18" s="45"/>
      <c r="D18" s="45"/>
      <c r="E18" s="45"/>
      <c r="F18" s="4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customFormat="1" x14ac:dyDescent="0.2">
      <c r="A19" s="43" t="s">
        <v>69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customForma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customFormat="1" ht="60" x14ac:dyDescent="0.2">
      <c r="A21" s="46" t="s">
        <v>70</v>
      </c>
      <c r="B21" s="46" t="s">
        <v>71</v>
      </c>
      <c r="C21" s="46" t="s">
        <v>72</v>
      </c>
      <c r="D21" s="46" t="s">
        <v>73</v>
      </c>
      <c r="E21" s="46" t="s">
        <v>74</v>
      </c>
      <c r="F21" s="46" t="s">
        <v>75</v>
      </c>
      <c r="G21" s="46" t="s">
        <v>76</v>
      </c>
      <c r="H21" s="46" t="s">
        <v>77</v>
      </c>
      <c r="I21" s="46" t="s">
        <v>78</v>
      </c>
      <c r="J21" s="46" t="s">
        <v>79</v>
      </c>
      <c r="K21" s="46" t="s">
        <v>80</v>
      </c>
      <c r="L21" s="47" t="s">
        <v>81</v>
      </c>
      <c r="M21" s="46" t="s">
        <v>82</v>
      </c>
      <c r="N21" s="46" t="s">
        <v>83</v>
      </c>
      <c r="O21" s="46" t="s">
        <v>84</v>
      </c>
      <c r="P21" s="46" t="s">
        <v>85</v>
      </c>
      <c r="Q21" s="46" t="s">
        <v>86</v>
      </c>
      <c r="R21" s="46" t="s">
        <v>87</v>
      </c>
    </row>
    <row r="22" spans="1:18" customFormat="1" x14ac:dyDescent="0.2">
      <c r="A22" s="52">
        <v>45833</v>
      </c>
      <c r="B22" s="53">
        <v>18000</v>
      </c>
      <c r="C22" s="53">
        <v>0</v>
      </c>
      <c r="D22" s="54">
        <v>0</v>
      </c>
      <c r="E22" s="54"/>
      <c r="F22" s="54">
        <f t="shared" ref="F22:F25" si="0">SUM(B22:E22)</f>
        <v>18000</v>
      </c>
      <c r="G22" s="55">
        <v>0</v>
      </c>
      <c r="H22" s="55"/>
      <c r="I22" s="54">
        <f t="shared" ref="I22:I25" si="1">+F22/2</f>
        <v>9000</v>
      </c>
      <c r="J22" s="55">
        <v>0</v>
      </c>
      <c r="K22" s="55">
        <v>0</v>
      </c>
      <c r="L22" s="56">
        <f t="shared" ref="L22:L25" si="2">SUM(G22:K22)</f>
        <v>9000</v>
      </c>
      <c r="M22" s="57">
        <v>1.2128749589367172E-3</v>
      </c>
      <c r="N22" s="57">
        <v>6.560190969950995E-3</v>
      </c>
      <c r="O22" s="58">
        <f>ROUND(+M22*L22,2)</f>
        <v>10.92</v>
      </c>
      <c r="P22" s="59">
        <f>ROUND(+N22*L22,2)</f>
        <v>59.04</v>
      </c>
      <c r="Q22" s="49">
        <f>+O22+P22</f>
        <v>69.959999999999994</v>
      </c>
      <c r="R22" s="49">
        <f t="shared" ref="R22:R25" si="3">+F22+G22+K22</f>
        <v>18000</v>
      </c>
    </row>
    <row r="23" spans="1:18" customFormat="1" x14ac:dyDescent="0.2">
      <c r="A23" s="52">
        <v>45863</v>
      </c>
      <c r="B23" s="53">
        <v>26000</v>
      </c>
      <c r="C23" s="53">
        <v>0</v>
      </c>
      <c r="D23" s="54">
        <v>0</v>
      </c>
      <c r="E23" s="54"/>
      <c r="F23" s="54">
        <f t="shared" si="0"/>
        <v>26000</v>
      </c>
      <c r="G23" s="55">
        <f>+R22</f>
        <v>18000</v>
      </c>
      <c r="H23" s="55"/>
      <c r="I23" s="54">
        <f t="shared" si="1"/>
        <v>13000</v>
      </c>
      <c r="J23" s="55">
        <v>0</v>
      </c>
      <c r="K23" s="55">
        <f>+Q22</f>
        <v>69.959999999999994</v>
      </c>
      <c r="L23" s="56">
        <f t="shared" si="2"/>
        <v>31069.96</v>
      </c>
      <c r="M23" s="57">
        <v>1.2128749589367172E-3</v>
      </c>
      <c r="N23" s="57">
        <v>6.560190969950995E-3</v>
      </c>
      <c r="O23" s="58">
        <f t="shared" ref="O23:O25" si="4">ROUND(+M23*L23,2)</f>
        <v>37.68</v>
      </c>
      <c r="P23" s="59">
        <f t="shared" ref="P23:P25" si="5">ROUND(+N23*L23,2)</f>
        <v>203.82</v>
      </c>
      <c r="Q23" s="49">
        <f t="shared" ref="Q23:Q25" si="6">+O23+P23</f>
        <v>241.5</v>
      </c>
      <c r="R23" s="49">
        <f t="shared" si="3"/>
        <v>44069.96</v>
      </c>
    </row>
    <row r="24" spans="1:18" customFormat="1" x14ac:dyDescent="0.2">
      <c r="A24" s="52">
        <v>45894</v>
      </c>
      <c r="B24" s="53">
        <v>34000</v>
      </c>
      <c r="C24" s="53">
        <v>0</v>
      </c>
      <c r="D24" s="54">
        <v>0</v>
      </c>
      <c r="E24" s="54"/>
      <c r="F24" s="54">
        <f t="shared" si="0"/>
        <v>34000</v>
      </c>
      <c r="G24" s="55">
        <f>+R23</f>
        <v>44069.96</v>
      </c>
      <c r="H24" s="55"/>
      <c r="I24" s="54">
        <f t="shared" si="1"/>
        <v>17000</v>
      </c>
      <c r="J24" s="55">
        <v>0</v>
      </c>
      <c r="K24" s="55">
        <f t="shared" ref="K24:K25" si="7">+Q23</f>
        <v>241.5</v>
      </c>
      <c r="L24" s="56">
        <f t="shared" si="2"/>
        <v>61311.46</v>
      </c>
      <c r="M24" s="57">
        <v>1.2128749589367172E-3</v>
      </c>
      <c r="N24" s="57">
        <v>6.560190969950995E-3</v>
      </c>
      <c r="O24" s="58">
        <f t="shared" si="4"/>
        <v>74.36</v>
      </c>
      <c r="P24" s="59">
        <f t="shared" si="5"/>
        <v>402.21</v>
      </c>
      <c r="Q24" s="49">
        <f t="shared" si="6"/>
        <v>476.57</v>
      </c>
      <c r="R24" s="49">
        <f t="shared" si="3"/>
        <v>78311.459999999992</v>
      </c>
    </row>
    <row r="25" spans="1:18" customFormat="1" x14ac:dyDescent="0.2">
      <c r="A25" s="52">
        <v>45925</v>
      </c>
      <c r="B25" s="53">
        <v>34500</v>
      </c>
      <c r="C25" s="53">
        <v>0</v>
      </c>
      <c r="D25" s="54">
        <v>0</v>
      </c>
      <c r="E25" s="54"/>
      <c r="F25" s="54">
        <f t="shared" si="0"/>
        <v>34500</v>
      </c>
      <c r="G25" s="55">
        <f t="shared" ref="G25" si="8">+R24</f>
        <v>78311.459999999992</v>
      </c>
      <c r="H25" s="55"/>
      <c r="I25" s="54">
        <f t="shared" si="1"/>
        <v>17250</v>
      </c>
      <c r="J25" s="55">
        <v>0</v>
      </c>
      <c r="K25" s="55">
        <f t="shared" si="7"/>
        <v>476.57</v>
      </c>
      <c r="L25" s="56">
        <f t="shared" si="2"/>
        <v>96038.03</v>
      </c>
      <c r="M25" s="57">
        <v>1.2128749589367172E-3</v>
      </c>
      <c r="N25" s="57">
        <v>6.560190969950995E-3</v>
      </c>
      <c r="O25" s="58">
        <f t="shared" si="4"/>
        <v>116.48</v>
      </c>
      <c r="P25" s="59">
        <f t="shared" si="5"/>
        <v>630.03</v>
      </c>
      <c r="Q25" s="49">
        <f t="shared" si="6"/>
        <v>746.51</v>
      </c>
      <c r="R25" s="49">
        <f t="shared" si="3"/>
        <v>113288.03</v>
      </c>
    </row>
    <row r="26" spans="1:18" x14ac:dyDescent="0.2">
      <c r="A26" s="52">
        <v>45955</v>
      </c>
      <c r="B26" s="53">
        <v>12500</v>
      </c>
      <c r="C26" s="53">
        <v>0</v>
      </c>
      <c r="D26" s="54">
        <v>0</v>
      </c>
      <c r="E26" s="54"/>
      <c r="F26" s="54">
        <f t="shared" ref="F26:F27" si="9">SUM(B26:E26)</f>
        <v>12500</v>
      </c>
      <c r="G26" s="55">
        <f t="shared" ref="G26:G27" si="10">+R25</f>
        <v>113288.03</v>
      </c>
      <c r="H26" s="55"/>
      <c r="I26" s="54">
        <f t="shared" ref="I26:I27" si="11">+F26/2</f>
        <v>6250</v>
      </c>
      <c r="J26" s="55">
        <v>0</v>
      </c>
      <c r="K26" s="55">
        <f t="shared" ref="K26" si="12">+Q25</f>
        <v>746.51</v>
      </c>
      <c r="L26" s="56">
        <f>SUM(G26:K26)</f>
        <v>120284.54</v>
      </c>
      <c r="M26" s="57">
        <v>1.2128749589367172E-3</v>
      </c>
      <c r="N26" s="57">
        <v>6.560190969950995E-3</v>
      </c>
      <c r="O26" s="58">
        <f t="shared" ref="O26:O27" si="13">ROUND(+M26*L26,2)</f>
        <v>145.88999999999999</v>
      </c>
      <c r="P26" s="59">
        <f t="shared" ref="P26:P27" si="14">ROUND(+N26*L26,2)</f>
        <v>789.09</v>
      </c>
      <c r="Q26" s="49">
        <f t="shared" ref="Q26:Q27" si="15">+O26+P26</f>
        <v>934.98</v>
      </c>
      <c r="R26" s="49">
        <f>+F26+G26+K26</f>
        <v>126534.54</v>
      </c>
    </row>
    <row r="27" spans="1:18" x14ac:dyDescent="0.2">
      <c r="A27" s="52">
        <v>45986</v>
      </c>
      <c r="B27" s="53">
        <v>18035</v>
      </c>
      <c r="C27" s="53">
        <v>0</v>
      </c>
      <c r="D27" s="54">
        <v>0</v>
      </c>
      <c r="E27" s="54"/>
      <c r="F27" s="54">
        <f t="shared" si="9"/>
        <v>18035</v>
      </c>
      <c r="G27" s="55">
        <f t="shared" si="10"/>
        <v>126534.54</v>
      </c>
      <c r="H27" s="55">
        <f>-G27/2</f>
        <v>-63267.27</v>
      </c>
      <c r="I27" s="54">
        <f t="shared" si="11"/>
        <v>9017.5</v>
      </c>
      <c r="J27" s="55">
        <f>-I27/2</f>
        <v>-4508.75</v>
      </c>
      <c r="K27" s="55">
        <f>+Q26/2</f>
        <v>467.49</v>
      </c>
      <c r="L27" s="56">
        <f t="shared" ref="L27" si="16">SUM(G27:K27)</f>
        <v>68243.509999999995</v>
      </c>
      <c r="M27" s="57">
        <v>1.2128749589367172E-3</v>
      </c>
      <c r="N27" s="57">
        <v>6.560190969950995E-3</v>
      </c>
      <c r="O27" s="58">
        <f t="shared" si="13"/>
        <v>82.77</v>
      </c>
      <c r="P27" s="59">
        <f t="shared" si="14"/>
        <v>447.69</v>
      </c>
      <c r="Q27" s="49">
        <f t="shared" si="15"/>
        <v>530.46</v>
      </c>
      <c r="R27" s="49">
        <f t="shared" ref="R27" si="17">+F27+G27+K27</f>
        <v>145037.02999999997</v>
      </c>
    </row>
    <row r="28" spans="1:18" x14ac:dyDescent="0.2">
      <c r="A28" s="60"/>
      <c r="B28" s="48">
        <f>SUM(B22:B27)</f>
        <v>143035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48">
        <f>SUM(Q22:Q27)</f>
        <v>2999.98</v>
      </c>
      <c r="R28" s="17"/>
    </row>
    <row r="29" spans="1:18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">
      <c r="A30" s="50" t="s">
        <v>88</v>
      </c>
      <c r="B30" s="49">
        <f>SUM(B22:B27)</f>
        <v>143035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">
      <c r="A31" s="50" t="s">
        <v>86</v>
      </c>
      <c r="B31" s="49">
        <f>+Q28</f>
        <v>2999.98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13.5" thickBot="1" x14ac:dyDescent="0.25">
      <c r="A32" s="50" t="s">
        <v>5</v>
      </c>
      <c r="B32" s="51">
        <f>SUM(B30:B31)</f>
        <v>146034.98000000001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1">
    <mergeCell ref="A9:A11"/>
  </mergeCells>
  <printOptions horizontalCentered="1"/>
  <pageMargins left="0.2" right="0.2" top="0.75" bottom="0.75" header="0.3" footer="0.3"/>
  <pageSetup scale="6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DF39-9BDC-48A9-873F-59BB7D1810DF}">
  <dimension ref="A1:AG35"/>
  <sheetViews>
    <sheetView topLeftCell="A16" workbookViewId="0">
      <selection activeCell="F37" sqref="F37"/>
    </sheetView>
  </sheetViews>
  <sheetFormatPr defaultColWidth="12.5703125" defaultRowHeight="11.25" x14ac:dyDescent="0.2"/>
  <cols>
    <col min="1" max="1" width="6.140625" style="4" customWidth="1"/>
    <col min="2" max="2" width="1.42578125" style="4" customWidth="1"/>
    <col min="3" max="3" width="35" style="4" customWidth="1"/>
    <col min="4" max="4" width="1.28515625" style="4" customWidth="1"/>
    <col min="5" max="5" width="23.42578125" style="4" customWidth="1"/>
    <col min="6" max="6" width="18" style="4" bestFit="1" customWidth="1"/>
    <col min="7" max="7" width="5" style="4" customWidth="1"/>
    <col min="8" max="8" width="15.5703125" style="4" bestFit="1" customWidth="1"/>
    <col min="9" max="9" width="4.85546875" style="4" customWidth="1"/>
    <col min="10" max="10" width="17.140625" style="4" customWidth="1"/>
    <col min="11" max="11" width="11.140625" style="4" customWidth="1"/>
    <col min="12" max="12" width="18.28515625" style="4" bestFit="1" customWidth="1"/>
    <col min="13" max="13" width="4" style="4" customWidth="1"/>
    <col min="14" max="14" width="10.7109375" style="4" customWidth="1"/>
    <col min="15" max="15" width="18.28515625" style="4" customWidth="1"/>
    <col min="16" max="16" width="14" style="4" customWidth="1"/>
    <col min="17" max="17" width="1.85546875" style="4" customWidth="1"/>
    <col min="18" max="18" width="12" style="4" bestFit="1" customWidth="1"/>
    <col min="19" max="19" width="9.28515625" style="4" bestFit="1" customWidth="1"/>
    <col min="20" max="20" width="1.140625" style="4" customWidth="1"/>
    <col min="21" max="21" width="9.140625" style="4" bestFit="1" customWidth="1"/>
    <col min="22" max="22" width="1.140625" style="4" customWidth="1"/>
    <col min="23" max="23" width="18.5703125" style="4" customWidth="1"/>
    <col min="24" max="24" width="1.7109375" style="4" customWidth="1"/>
    <col min="25" max="25" width="15" style="4" bestFit="1" customWidth="1"/>
    <col min="26" max="26" width="4.7109375" style="4" customWidth="1"/>
    <col min="27" max="27" width="9.7109375" style="4" bestFit="1" customWidth="1"/>
    <col min="28" max="28" width="1.5703125" style="4" customWidth="1"/>
    <col min="29" max="29" width="14.85546875" style="4" customWidth="1"/>
    <col min="30" max="30" width="2" style="4" customWidth="1"/>
    <col min="31" max="31" width="13.140625" style="4" customWidth="1"/>
    <col min="32" max="32" width="1.85546875" style="4" bestFit="1" customWidth="1"/>
    <col min="33" max="33" width="8.140625" style="4" customWidth="1"/>
    <col min="34" max="16384" width="12.5703125" style="4"/>
  </cols>
  <sheetData>
    <row r="1" spans="1:33" x14ac:dyDescent="0.2">
      <c r="A1" s="178" t="s">
        <v>91</v>
      </c>
      <c r="B1" s="178"/>
      <c r="C1" s="178"/>
      <c r="D1" s="178"/>
      <c r="E1" s="122"/>
      <c r="F1" s="122"/>
      <c r="G1" s="122"/>
      <c r="H1" s="122"/>
      <c r="I1" s="122"/>
      <c r="J1" s="127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</row>
    <row r="2" spans="1:33" x14ac:dyDescent="0.2">
      <c r="A2" s="126"/>
      <c r="B2" s="126"/>
      <c r="C2" s="126"/>
      <c r="D2" s="126"/>
      <c r="E2" s="122"/>
      <c r="F2" s="122"/>
      <c r="G2" s="122"/>
      <c r="H2" s="122"/>
      <c r="I2" s="122"/>
      <c r="J2" s="127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</row>
    <row r="3" spans="1:33" s="122" customFormat="1" x14ac:dyDescent="0.2">
      <c r="A3" s="128" t="s">
        <v>0</v>
      </c>
      <c r="B3" s="88"/>
      <c r="C3" s="88"/>
      <c r="D3" s="88"/>
      <c r="J3" s="127"/>
      <c r="AF3" s="4"/>
      <c r="AG3" s="4"/>
    </row>
    <row r="4" spans="1:33" s="122" customFormat="1" x14ac:dyDescent="0.2">
      <c r="A4" s="12" t="s">
        <v>64</v>
      </c>
      <c r="B4" s="88"/>
      <c r="C4" s="88"/>
      <c r="D4" s="88"/>
      <c r="J4" s="127"/>
      <c r="AF4" s="4"/>
      <c r="AG4" s="4"/>
    </row>
    <row r="5" spans="1:33" s="122" customFormat="1" x14ac:dyDescent="0.2">
      <c r="A5" s="80" t="s">
        <v>32</v>
      </c>
      <c r="B5" s="88"/>
      <c r="C5" s="88"/>
      <c r="D5" s="88"/>
      <c r="J5" s="127"/>
      <c r="AF5" s="4"/>
      <c r="AG5" s="4"/>
    </row>
    <row r="6" spans="1:33" s="122" customFormat="1" x14ac:dyDescent="0.2">
      <c r="J6" s="127"/>
      <c r="AF6" s="4"/>
      <c r="AG6" s="4"/>
    </row>
    <row r="7" spans="1:33" s="122" customFormat="1" x14ac:dyDescent="0.2">
      <c r="A7" s="129" t="s">
        <v>35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AF7" s="4"/>
      <c r="AG7" s="4"/>
    </row>
    <row r="8" spans="1:33" s="122" customFormat="1" x14ac:dyDescent="0.2">
      <c r="A8" s="131"/>
      <c r="L8" s="132"/>
      <c r="AF8" s="4"/>
      <c r="AG8" s="4"/>
    </row>
    <row r="9" spans="1:33" s="122" customFormat="1" x14ac:dyDescent="0.2">
      <c r="A9" s="131"/>
      <c r="L9" s="133"/>
      <c r="AF9" s="4"/>
      <c r="AG9" s="4"/>
    </row>
    <row r="10" spans="1:33" s="122" customFormat="1" x14ac:dyDescent="0.2">
      <c r="A10" s="129" t="s">
        <v>65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AF10" s="4"/>
      <c r="AG10" s="4"/>
    </row>
    <row r="11" spans="1:33" s="122" customFormat="1" x14ac:dyDescent="0.2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4"/>
      <c r="AF11" s="4"/>
      <c r="AG11" s="4"/>
    </row>
    <row r="12" spans="1:33" s="122" customFormat="1" x14ac:dyDescent="0.2">
      <c r="AF12" s="4"/>
      <c r="AG12" s="4"/>
    </row>
    <row r="13" spans="1:33" s="122" customFormat="1" x14ac:dyDescent="0.2">
      <c r="AF13" s="4"/>
      <c r="AG13" s="4"/>
    </row>
    <row r="14" spans="1:33" s="122" customFormat="1" x14ac:dyDescent="0.2">
      <c r="L14" s="135">
        <v>2023</v>
      </c>
      <c r="O14" s="135">
        <v>2023</v>
      </c>
      <c r="AF14" s="4"/>
      <c r="AG14" s="4"/>
    </row>
    <row r="15" spans="1:33" s="122" customFormat="1" x14ac:dyDescent="0.2">
      <c r="E15" s="130"/>
      <c r="F15" s="130"/>
      <c r="J15" s="135"/>
      <c r="L15" s="135" t="s">
        <v>36</v>
      </c>
      <c r="O15" s="135" t="s">
        <v>36</v>
      </c>
      <c r="AF15" s="4"/>
      <c r="AG15" s="4"/>
    </row>
    <row r="16" spans="1:33" s="122" customFormat="1" x14ac:dyDescent="0.2">
      <c r="E16" s="135" t="s">
        <v>37</v>
      </c>
      <c r="J16" s="135">
        <v>2023</v>
      </c>
      <c r="L16" s="135" t="s">
        <v>38</v>
      </c>
      <c r="O16" s="135" t="s">
        <v>38</v>
      </c>
      <c r="AF16" s="4"/>
      <c r="AG16" s="4"/>
    </row>
    <row r="17" spans="1:33" s="122" customFormat="1" x14ac:dyDescent="0.2">
      <c r="A17" s="135" t="s">
        <v>39</v>
      </c>
      <c r="E17" s="135" t="s">
        <v>40</v>
      </c>
      <c r="F17" s="135" t="s">
        <v>37</v>
      </c>
      <c r="L17" s="135" t="s">
        <v>41</v>
      </c>
      <c r="O17" s="135" t="s">
        <v>42</v>
      </c>
      <c r="AF17" s="4"/>
      <c r="AG17" s="4"/>
    </row>
    <row r="18" spans="1:33" s="122" customFormat="1" x14ac:dyDescent="0.2">
      <c r="A18" s="136" t="s">
        <v>43</v>
      </c>
      <c r="C18" s="136" t="s">
        <v>44</v>
      </c>
      <c r="E18" s="137" t="s">
        <v>66</v>
      </c>
      <c r="F18" s="136" t="s">
        <v>45</v>
      </c>
      <c r="H18" s="136" t="s">
        <v>46</v>
      </c>
      <c r="J18" s="138" t="s">
        <v>41</v>
      </c>
      <c r="L18" s="136" t="s">
        <v>47</v>
      </c>
      <c r="O18" s="138" t="s">
        <v>47</v>
      </c>
      <c r="AF18" s="4"/>
      <c r="AG18" s="4"/>
    </row>
    <row r="19" spans="1:33" s="122" customFormat="1" x14ac:dyDescent="0.2">
      <c r="C19" s="135" t="s">
        <v>48</v>
      </c>
      <c r="E19" s="135"/>
      <c r="F19" s="135" t="s">
        <v>49</v>
      </c>
      <c r="H19" s="135" t="s">
        <v>50</v>
      </c>
      <c r="J19" s="135" t="s">
        <v>51</v>
      </c>
      <c r="L19" s="135" t="s">
        <v>52</v>
      </c>
      <c r="O19" s="135" t="s">
        <v>53</v>
      </c>
      <c r="AF19" s="4"/>
      <c r="AG19" s="4"/>
    </row>
    <row r="20" spans="1:33" s="122" customFormat="1" x14ac:dyDescent="0.2">
      <c r="J20" s="135"/>
      <c r="K20" s="135"/>
      <c r="N20" s="135"/>
    </row>
    <row r="21" spans="1:33" s="122" customFormat="1" x14ac:dyDescent="0.2">
      <c r="A21" s="135" t="s">
        <v>54</v>
      </c>
      <c r="C21" s="127" t="s">
        <v>55</v>
      </c>
      <c r="E21" s="139">
        <v>1600000000</v>
      </c>
      <c r="F21" s="140">
        <f>+E21/E27</f>
        <v>0.35785581536064193</v>
      </c>
      <c r="H21" s="141">
        <v>4.147E-2</v>
      </c>
      <c r="J21" s="142">
        <f>+F21*H21</f>
        <v>1.4840280663005821E-2</v>
      </c>
      <c r="K21" s="143">
        <f>+J21/J27</f>
        <v>0.15603559393844915</v>
      </c>
      <c r="L21" s="144">
        <f>+J21/J27*L27</f>
        <v>1.5193139143237687E-2</v>
      </c>
      <c r="N21" s="145">
        <f>+L21/L27</f>
        <v>0.15603559393844915</v>
      </c>
      <c r="O21" s="146">
        <f>+J21/J27*O27</f>
        <v>1.2128749589367172E-3</v>
      </c>
    </row>
    <row r="22" spans="1:33" s="122" customFormat="1" x14ac:dyDescent="0.2">
      <c r="H22" s="141"/>
      <c r="J22" s="147"/>
      <c r="K22" s="135"/>
      <c r="L22" s="148"/>
      <c r="N22" s="135"/>
      <c r="O22" s="148"/>
    </row>
    <row r="23" spans="1:33" s="122" customFormat="1" x14ac:dyDescent="0.2">
      <c r="A23" s="135" t="s">
        <v>56</v>
      </c>
      <c r="C23" s="127" t="s">
        <v>57</v>
      </c>
      <c r="E23" s="140"/>
      <c r="F23" s="140">
        <v>0</v>
      </c>
      <c r="H23" s="149"/>
      <c r="J23" s="147"/>
      <c r="K23" s="135"/>
      <c r="L23" s="148"/>
      <c r="N23" s="135"/>
      <c r="O23" s="148"/>
      <c r="R23" s="123"/>
      <c r="T23" s="124"/>
      <c r="U23" s="124"/>
      <c r="V23" s="124"/>
      <c r="W23" s="124"/>
    </row>
    <row r="24" spans="1:33" s="122" customFormat="1" x14ac:dyDescent="0.2">
      <c r="H24" s="149"/>
      <c r="J24" s="147"/>
      <c r="K24" s="135"/>
      <c r="L24" s="148"/>
      <c r="N24" s="135"/>
      <c r="O24" s="148"/>
    </row>
    <row r="25" spans="1:33" s="122" customFormat="1" x14ac:dyDescent="0.2">
      <c r="A25" s="135" t="s">
        <v>58</v>
      </c>
      <c r="C25" s="127" t="s">
        <v>59</v>
      </c>
      <c r="E25" s="150">
        <v>2871074470</v>
      </c>
      <c r="F25" s="151">
        <f>+E25/E27</f>
        <v>0.64214418463935807</v>
      </c>
      <c r="H25" s="152">
        <v>0.125</v>
      </c>
      <c r="I25" s="153"/>
      <c r="J25" s="154">
        <f>+F25*H25</f>
        <v>8.0268023079919759E-2</v>
      </c>
      <c r="K25" s="143">
        <f>+J25/J27</f>
        <v>0.84396440606155076</v>
      </c>
      <c r="L25" s="144">
        <f>+J25/J27*L27</f>
        <v>8.2176561959902111E-2</v>
      </c>
      <c r="N25" s="145">
        <f>+L25/L27</f>
        <v>0.84396440606155076</v>
      </c>
      <c r="O25" s="144">
        <f>+J25/J27*O27</f>
        <v>6.560190969950995E-3</v>
      </c>
      <c r="R25" s="123"/>
      <c r="T25" s="124"/>
      <c r="U25" s="124"/>
      <c r="V25" s="124"/>
      <c r="W25" s="124"/>
    </row>
    <row r="26" spans="1:33" s="122" customFormat="1" x14ac:dyDescent="0.2">
      <c r="H26" s="135"/>
      <c r="J26" s="155"/>
      <c r="K26" s="135"/>
      <c r="L26" s="156"/>
      <c r="N26" s="135"/>
      <c r="O26" s="156"/>
    </row>
    <row r="27" spans="1:33" s="122" customFormat="1" ht="12" thickBot="1" x14ac:dyDescent="0.25">
      <c r="A27" s="135" t="s">
        <v>61</v>
      </c>
      <c r="C27" s="127" t="s">
        <v>62</v>
      </c>
      <c r="E27" s="157">
        <f>SUM(E21:E25)</f>
        <v>4471074470</v>
      </c>
      <c r="F27" s="158">
        <f>SUM(F21:F25)</f>
        <v>1</v>
      </c>
      <c r="J27" s="159">
        <f>J21+J25</f>
        <v>9.5108303742925587E-2</v>
      </c>
      <c r="K27" s="142">
        <f>+K25+K21</f>
        <v>0.99999999999999989</v>
      </c>
      <c r="L27" s="160">
        <f>((1+J27/2)^2)-1</f>
        <v>9.7369701103139805E-2</v>
      </c>
      <c r="M27" s="161"/>
      <c r="N27" s="162">
        <f>+N21+N25</f>
        <v>0.99999999999999989</v>
      </c>
      <c r="O27" s="160">
        <f>((1+J27/2)^2)^(1/12)-1</f>
        <v>7.7730659288877124E-3</v>
      </c>
    </row>
    <row r="28" spans="1:33" s="122" customFormat="1" ht="12" thickTop="1" x14ac:dyDescent="0.2">
      <c r="T28" s="125"/>
      <c r="U28" s="125"/>
      <c r="V28" s="125"/>
      <c r="W28" s="125"/>
    </row>
    <row r="29" spans="1:33" s="122" customFormat="1" x14ac:dyDescent="0.2">
      <c r="L29" s="163"/>
      <c r="N29" s="152"/>
      <c r="O29" s="146"/>
      <c r="P29" s="164"/>
    </row>
    <row r="30" spans="1:33" s="122" customFormat="1" ht="12" thickBot="1" x14ac:dyDescent="0.25">
      <c r="N30" s="152"/>
      <c r="O30" s="146"/>
      <c r="P30" s="164"/>
      <c r="R30" s="165"/>
      <c r="S30" s="164"/>
    </row>
    <row r="31" spans="1:33" s="122" customFormat="1" ht="12.75" customHeight="1" x14ac:dyDescent="0.2"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79" t="s">
        <v>60</v>
      </c>
      <c r="N31" s="180"/>
      <c r="O31" s="180"/>
      <c r="P31" s="181"/>
      <c r="R31" s="165"/>
      <c r="S31" s="164"/>
      <c r="Z31" s="140"/>
    </row>
    <row r="32" spans="1:33" s="122" customFormat="1" ht="13.5" customHeight="1" thickBot="1" x14ac:dyDescent="0.25"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82" t="s">
        <v>63</v>
      </c>
      <c r="N32" s="183"/>
      <c r="O32" s="183"/>
      <c r="P32" s="184"/>
      <c r="S32" s="133"/>
      <c r="Y32" s="140"/>
    </row>
    <row r="33" spans="1:29" s="122" customFormat="1" x14ac:dyDescent="0.2">
      <c r="E33" s="140"/>
      <c r="F33" s="140"/>
      <c r="V33" s="140"/>
      <c r="X33" s="135"/>
    </row>
    <row r="34" spans="1:29" s="122" customFormat="1" x14ac:dyDescent="0.2">
      <c r="E34" s="129"/>
      <c r="F34" s="129"/>
      <c r="G34" s="129"/>
      <c r="H34" s="129"/>
      <c r="I34" s="129"/>
      <c r="J34" s="129"/>
      <c r="K34" s="129"/>
      <c r="L34" s="129"/>
      <c r="M34" s="129"/>
      <c r="N34" s="131"/>
      <c r="O34" s="131"/>
      <c r="P34" s="131"/>
      <c r="Q34" s="131"/>
      <c r="R34" s="131"/>
      <c r="S34" s="131"/>
      <c r="T34" s="131"/>
      <c r="U34" s="131"/>
      <c r="V34" s="131"/>
      <c r="X34" s="131"/>
      <c r="Y34" s="131"/>
      <c r="Z34" s="131"/>
      <c r="AA34" s="131"/>
      <c r="AB34" s="131"/>
      <c r="AC34" s="131"/>
    </row>
    <row r="35" spans="1:29" s="122" customFormat="1" x14ac:dyDescent="0.2">
      <c r="A35" s="135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X35" s="131"/>
      <c r="Y35" s="131"/>
      <c r="Z35" s="131"/>
      <c r="AA35" s="131"/>
      <c r="AB35" s="131"/>
      <c r="AC35" s="131"/>
    </row>
  </sheetData>
  <mergeCells count="3">
    <mergeCell ref="A1:D1"/>
    <mergeCell ref="M31:P31"/>
    <mergeCell ref="M32:P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NG Document" ma:contentTypeID="0x0101002B704F9B31242741BB7B80C4A9FFD0AB01000B184FAE10F81B4B8E59857D5DDD6B3C" ma:contentTypeVersion="51" ma:contentTypeDescription="Create a new NNG Document Posting" ma:contentTypeScope="" ma:versionID="311bb3eef566d551cd8132fd72ef3c72">
  <xsd:schema xmlns:xsd="http://www.w3.org/2001/XMLSchema" xmlns:xs="http://www.w3.org/2001/XMLSchema" xmlns:p="http://schemas.microsoft.com/office/2006/metadata/properties" xmlns:ns1="http://schemas.microsoft.com/sharepoint/v3" xmlns:ns2="028855de-1473-4340-91da-493a9a104b07" xmlns:ns3="0b825887-23b5-4f71-927b-f09ff123c371" targetNamespace="http://schemas.microsoft.com/office/2006/metadata/properties" ma:root="true" ma:fieldsID="5050d2546ab149db6f4a13d0b5310ab1" ns1:_="" ns2:_="" ns3:_="">
    <xsd:import namespace="http://schemas.microsoft.com/sharepoint/v3"/>
    <xsd:import namespace="028855de-1473-4340-91da-493a9a104b07"/>
    <xsd:import namespace="0b825887-23b5-4f71-927b-f09ff123c371"/>
    <xsd:element name="properties">
      <xsd:complexType>
        <xsd:sequence>
          <xsd:element name="documentManagement">
            <xsd:complexType>
              <xsd:all>
                <xsd:element ref="ns1:PostingStatus" minOccurs="0"/>
                <xsd:element ref="ns1:BeginPostDate"/>
                <xsd:element ref="ns1:EndPostDate"/>
                <xsd:element ref="ns2:Document_x0020_Category"/>
                <xsd:element ref="ns3:Department" minOccurs="0"/>
                <xsd:element ref="ns3:Document_x0020_Owner" minOccurs="0"/>
                <xsd:element ref="ns1:Doc_x0020_ID" minOccurs="0"/>
                <xsd:element ref="ns1:Expired_x0020_Date" minOccurs="0"/>
                <xsd:element ref="ns1:Post_x0020_Date" minOccurs="0"/>
                <xsd:element ref="ns1:Unresolved_x0020_User_x0020_ID" minOccurs="0"/>
                <xsd:element ref="ns1:DocumentDescription" minOccurs="0"/>
                <xsd:element ref="ns3:Rate_x0020_Info" minOccurs="0"/>
                <xsd:element ref="ns2:Requested_x0020_Date" minOccurs="0"/>
                <xsd:element ref="ns3:Review_x0020_Date" minOccurs="0"/>
                <xsd:element ref="ns2:CommentsHistory" minOccurs="0"/>
                <xsd:element ref="ns3:MoveToInitiate" minOccurs="0"/>
                <xsd:element ref="ns3:Sort_x0020_Column" minOccurs="0"/>
                <xsd:element ref="ns3:NavGroup" minOccurs="0"/>
                <xsd:element ref="ns3:_dlc_ExpireDate" minOccurs="0"/>
                <xsd:element ref="ns3:_dlc_ExpireDateSaved" minOccurs="0"/>
                <xsd:element ref="ns2:SharedWithUsers" minOccurs="0"/>
                <xsd:element ref="ns3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ostingStatus" ma:index="2" nillable="true" ma:displayName="Posting Status" ma:default="Pending Admin Review" ma:format="Dropdown" ma:internalName="PostingStatus">
      <xsd:simpleType>
        <xsd:restriction base="dms:Choice">
          <xsd:enumeration value="Pending Admin Review"/>
          <xsd:enumeration value="Pending Feedback"/>
          <xsd:enumeration value="Pending Approval"/>
          <xsd:enumeration value="Rejected"/>
          <xsd:enumeration value="Post Pending"/>
          <xsd:enumeration value="Initiate"/>
          <xsd:enumeration value="Terminated"/>
        </xsd:restriction>
      </xsd:simpleType>
    </xsd:element>
    <xsd:element name="BeginPostDate" ma:index="3" ma:displayName="Begin Post Date" ma:format="DateTime" ma:internalName="BeginPostDate">
      <xsd:simpleType>
        <xsd:restriction base="dms:DateTime"/>
      </xsd:simpleType>
    </xsd:element>
    <xsd:element name="EndPostDate" ma:index="4" ma:displayName="End Post Date" ma:format="DateTime" ma:internalName="EndPostDate">
      <xsd:simpleType>
        <xsd:restriction base="dms:DateTime"/>
      </xsd:simpleType>
    </xsd:element>
    <xsd:element name="Doc_x0020_ID" ma:index="8" nillable="true" ma:displayName="Doc ID" ma:internalName="Doc_x0020_ID">
      <xsd:simpleType>
        <xsd:restriction base="dms:Text"/>
      </xsd:simpleType>
    </xsd:element>
    <xsd:element name="Expired_x0020_Date" ma:index="9" nillable="true" ma:displayName="Expired Date" ma:format="DateTime" ma:internalName="Expired_x0020_Date">
      <xsd:simpleType>
        <xsd:restriction base="dms:DateTime"/>
      </xsd:simpleType>
    </xsd:element>
    <xsd:element name="Post_x0020_Date" ma:index="10" nillable="true" ma:displayName="Post Date" ma:format="DateTime" ma:internalName="Post_x0020_Date">
      <xsd:simpleType>
        <xsd:restriction base="dms:DateTime"/>
      </xsd:simpleType>
    </xsd:element>
    <xsd:element name="Unresolved_x0020_User_x0020_ID" ma:index="11" nillable="true" ma:displayName="Unresolved UserID" ma:internalName="Unresolved_x0020_User_x0020_ID">
      <xsd:simpleType>
        <xsd:restriction base="dms:Text">
          <xsd:maxLength value="255"/>
        </xsd:restriction>
      </xsd:simpleType>
    </xsd:element>
    <xsd:element name="DocumentDescription" ma:index="12" nillable="true" ma:displayName="Description" ma:internalName="Documen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855de-1473-4340-91da-493a9a104b07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5" ma:displayName="Document Category" ma:list="{F85D7477-0811-4233-B0CF-3A33E0609D95}" ma:internalName="Document_x0020_Category" ma:showField="Title" ma:web="028855de-1473-4340-91da-493a9a104b07">
      <xsd:simpleType>
        <xsd:restriction base="dms:Lookup"/>
      </xsd:simpleType>
    </xsd:element>
    <xsd:element name="Requested_x0020_Date" ma:index="14" nillable="true" ma:displayName="Requested Date" ma:format="DateTime" ma:internalName="Requested_x0020_Date">
      <xsd:simpleType>
        <xsd:restriction base="dms:DateTime"/>
      </xsd:simpleType>
    </xsd:element>
    <xsd:element name="CommentsHistory" ma:index="16" nillable="true" ma:displayName="CommentsHistory" ma:internalName="CommentsHistory">
      <xsd:simpleType>
        <xsd:restriction base="dms:Note"/>
      </xsd:simpleType>
    </xsd:element>
    <xsd:element name="SharedWithUsers" ma:index="2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5887-23b5-4f71-927b-f09ff123c371" elementFormDefault="qualified">
    <xsd:import namespace="http://schemas.microsoft.com/office/2006/documentManagement/types"/>
    <xsd:import namespace="http://schemas.microsoft.com/office/infopath/2007/PartnerControls"/>
    <xsd:element name="Department" ma:index="6" nillable="true" ma:displayName="Department" ma:description="Department" ma:list="{afafa365-c086-4e01-b550-abffb0ba2fdd}" ma:internalName="Department" ma:showField="Title">
      <xsd:simpleType>
        <xsd:restriction base="dms:Lookup"/>
      </xsd:simpleType>
    </xsd:element>
    <xsd:element name="Document_x0020_Owner" ma:index="7" nillable="true" ma:displayName="Document Owner" ma:description="Owner of this document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e_x0020_Info" ma:index="13" nillable="true" ma:displayName="Rate Info" ma:default="No" ma:description="Is there Rate info?" ma:format="Dropdown" ma:internalName="Rate_x0020_Info">
      <xsd:simpleType>
        <xsd:restriction base="dms:Choice">
          <xsd:enumeration value="Yes"/>
          <xsd:enumeration value="No"/>
        </xsd:restriction>
      </xsd:simpleType>
    </xsd:element>
    <xsd:element name="Review_x0020_Date" ma:index="15" nillable="true" ma:displayName="Review Date" ma:description="Date the document was reviewed" ma:format="DateOnly" ma:internalName="Review_x0020_Date">
      <xsd:simpleType>
        <xsd:restriction base="dms:DateTime"/>
      </xsd:simpleType>
    </xsd:element>
    <xsd:element name="MoveToInitiate" ma:index="17" nillable="true" ma:displayName="MoveToInitiate" ma:internalName="MoveToInitiate">
      <xsd:simpleType>
        <xsd:restriction base="dms:Text"/>
      </xsd:simpleType>
    </xsd:element>
    <xsd:element name="Sort_x0020_Column" ma:index="18" nillable="true" ma:displayName="Sort Column" ma:description="Use this column if you would like to sort documents" ma:indexed="true" ma:internalName="Sort_x0020_Column" ma:percentage="FALSE">
      <xsd:simpleType>
        <xsd:restriction base="dms:Number"/>
      </xsd:simpleType>
    </xsd:element>
    <xsd:element name="NavGroup" ma:index="19" nillable="true" ma:displayName="NavGroup" ma:internalName="NavGroup">
      <xsd:simpleType>
        <xsd:restriction base="dms:Text">
          <xsd:maxLength value="255"/>
        </xsd:restriction>
      </xsd:simpleType>
    </xsd:element>
    <xsd:element name="_dlc_ExpireDate" ma:index="20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pireDateSaved" ma:index="26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empt" ma:index="31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History xmlns="028855de-1473-4340-91da-493a9a104b07" xsi:nil="true"/>
    <BeginPostDate xmlns="http://schemas.microsoft.com/sharepoint/v3">2024-05-16T19:00:00+00:00</BeginPostDate>
    <PostingStatus xmlns="http://schemas.microsoft.com/sharepoint/v3">Initiate</PostingStatus>
    <EndPostDate xmlns="http://schemas.microsoft.com/sharepoint/v3">2999-12-01T06:00:00+00:00</EndPostDate>
    <Document_x0020_Category xmlns="028855de-1473-4340-91da-493a9a104b07">222</Document_x0020_Category>
    <Review_x0020_Date xmlns="0b825887-23b5-4f71-927b-f09ff123c371" xsi:nil="true"/>
    <Sort_x0020_Column xmlns="0b825887-23b5-4f71-927b-f09ff123c371" xsi:nil="true"/>
    <Document_x0020_Owner xmlns="0b825887-23b5-4f71-927b-f09ff123c371">
      <UserInfo>
        <DisplayName>Martens, Donna</DisplayName>
        <AccountId>634</AccountId>
        <AccountType/>
      </UserInfo>
    </Document_x0020_Owner>
    <Rate_x0020_Info xmlns="0b825887-23b5-4f71-927b-f09ff123c371">No</Rate_x0020_Info>
    <MoveToInitiate xmlns="0b825887-23b5-4f71-927b-f09ff123c371">true</MoveToInitiate>
    <Expired_x0020_Date xmlns="http://schemas.microsoft.com/sharepoint/v3" xsi:nil="true"/>
    <Requested_x0020_Date xmlns="028855de-1473-4340-91da-493a9a104b07" xsi:nil="true"/>
    <Department xmlns="0b825887-23b5-4f71-927b-f09ff123c371">9</Department>
    <Post_x0020_Date xmlns="http://schemas.microsoft.com/sharepoint/v3">2024-05-16T19:00:48+00:00</Post_x0020_Date>
    <NavGroup xmlns="0b825887-23b5-4f71-927b-f09ff123c371">Northern Submissions to FERC</NavGroup>
    <Doc_x0020_ID xmlns="http://schemas.microsoft.com/sharepoint/v3" xsi:nil="true"/>
    <DocumentDescription xmlns="http://schemas.microsoft.com/sharepoint/v3" xsi:nil="true"/>
    <Unresolved_x0020_User_x0020_ID xmlns="http://schemas.microsoft.com/sharepoint/v3" xsi:nil="true"/>
    <_dlc_ExpireDateSaved xmlns="0b825887-23b5-4f71-927b-f09ff123c371" xsi:nil="true"/>
    <_dlc_ExpireDate xmlns="0b825887-23b5-4f71-927b-f09ff123c371">2999-12-01T06:00:00+00:00</_dlc_ExpireDate>
  </documentManagement>
</p:properties>
</file>

<file path=customXml/item4.xml><?xml version="1.0" encoding="utf-8"?>
<?mso-contentType ?>
<p:Policy xmlns:p="office.server.policy" id="" local="true">
  <p:Name>NNG Document</p:Name>
  <p:Description/>
  <p:Statement/>
  <p:PolicyItems>
    <p:PolicyItem featureId="Microsoft.Office.RecordsManagement.PolicyFeatures.Expiration" UniqueId="98e2c8a9-09eb-4b82-8ab7-f7814483485e">
      <p:Name>Expiration</p:Name>
      <p:Description>Automatic scheduling of content for processing, and expiry of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EndPostDate</property>
                  <propertyId>22badabc-63b1-478b-b9db-1c4b0e543486</propertyId>
                  <period>days</period>
                </formula>
                <action type="workflow" id="67c626c4-db7d-4bb4-873f-30186165dc4a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7642F79C-10E5-457C-AD9D-474C117F686D}"/>
</file>

<file path=customXml/itemProps2.xml><?xml version="1.0" encoding="utf-8"?>
<ds:datastoreItem xmlns:ds="http://schemas.openxmlformats.org/officeDocument/2006/customXml" ds:itemID="{61266DBC-50B6-4FAF-AA1D-255C6E5A73CC}"/>
</file>

<file path=customXml/itemProps3.xml><?xml version="1.0" encoding="utf-8"?>
<ds:datastoreItem xmlns:ds="http://schemas.openxmlformats.org/officeDocument/2006/customXml" ds:itemID="{32878EA7-3207-4412-B93C-301247C2C18A}"/>
</file>

<file path=customXml/itemProps4.xml><?xml version="1.0" encoding="utf-8"?>
<ds:datastoreItem xmlns:ds="http://schemas.openxmlformats.org/officeDocument/2006/customXml" ds:itemID="{01FDA8D8-1F3F-42B9-8627-B6C3689A1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Exhibit K NL 2025</vt:lpstr>
      <vt:lpstr>Lake Mills-Albert Lea E-Line Ex</vt:lpstr>
      <vt:lpstr>Farmington-Hugo C-Line Ext</vt:lpstr>
      <vt:lpstr>ELK River 3rd Branch Line Ext</vt:lpstr>
      <vt:lpstr>Tomah BL Loop Ext</vt:lpstr>
      <vt:lpstr>La Cresent Station Modification</vt:lpstr>
      <vt:lpstr>AFUDC Rate Calculation</vt:lpstr>
      <vt:lpstr>'ELK River 3rd Branch Line Ext'!Print_Area</vt:lpstr>
      <vt:lpstr>'Exhibit K NL 2025'!Print_Area</vt:lpstr>
      <vt:lpstr>'La Cresent Station Modification'!Print_Area</vt:lpstr>
    </vt:vector>
  </TitlesOfParts>
  <Company>MidAmerican Energy Holdings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Northern’s response to FERC May 9, 2024 data request</dc:title>
  <dc:creator>Trayer, Deaun</dc:creator>
  <cp:lastModifiedBy>Martens, Donna (Northern Natural Gas)</cp:lastModifiedBy>
  <cp:lastPrinted>2024-05-10T18:57:46Z</cp:lastPrinted>
  <dcterms:created xsi:type="dcterms:W3CDTF">2013-05-24T21:30:15Z</dcterms:created>
  <dcterms:modified xsi:type="dcterms:W3CDTF">2024-05-16T13:02:35Z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0x0101002B704F9B31242741BB7B80C4A9FFD0AB01000B184FAE10F81B4B8E59857D5DDD6B3C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0&lt;/number&gt;&lt;property&gt;EndPostDate&lt;/property&gt;&lt;propertyId&gt;22badabc-63b1-478b-b9db-1c4b0e543486&lt;/propertyId&gt;&lt;period&gt;days&lt;/period&gt;&lt;/formula&gt;</vt:lpwstr>
  </property>
  <property fmtid="{D5CDD505-2E9C-101B-9397-08002B2CF9AE}" pid="5" name="WorkflowHistory">
    <vt:lpwstr>5/16/2024 1:57:30 PM - WorkflowStarted - Fletcher McMeen (Northern Natural Gas) - Admin approval workflow was started. - Workflow Started_x000d_
5/16/2024 1:57:30 PM - TaskCreated - Fletcher McMeen (Northern Natural Gas) - Admin Approval process started, participants are: Bischoff, Barbara (Northern Natural Gas); Aschwege, Doug (Northern Natural Gas); Barrett, Jeremy (Northern Natural Gas); Luettel, Ben (Northern Natural Gas); Milks, Vonn (Northern Natural Gas); Lewis, Pam (Northern Natural Gas); Rozmus, Frank (Northern Natural Gas); Magner, Kip (Northern Natural Gas); Nachtigall, Andrew (Northern Natural Gas); Wagner, Darrell (Northern Natural Gas); Fletcher McMeen (Northern Natural Gas); O'Connell, Jack (Northern Natural Gas);  - Admin Process Started_x000d_
5/16/2024 1:57:35 PM - WorkflowComment - Fletcher McMeen (Northern Natural Gas) - Admin Approver Fletcher McMeen (Northern Natural Gas) APPROVED the document or notice. - Admin Updated_x000d_
5/16/2024 1:57:36 PM - TaskCompleted - Fletcher McMeen (Northern Natural Gas) - Admin Process Completed - Approve Completed_x000d_
5/16/2024 1:57:36 PM - WorkflowComment - Fletcher McMeen (Northern Natural Gas) - Workflow Completed - Complete_x000d_
</vt:lpwstr>
  </property>
</Properties>
</file>